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xl/drawings/vmlDrawing1.vml" ContentType="application/vnd.openxmlformats-officedocument.vmlDrawing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8" firstSheet="0" activeTab="2"/>
  </bookViews>
  <sheets>
    <sheet name="Инструкция " sheetId="1" state="visible" r:id="rId2"/>
    <sheet name="Данные" sheetId="2" state="visible" r:id="rId3"/>
    <sheet name="Заявка" sheetId="3" state="visible" r:id="rId4"/>
  </sheets>
  <definedNames>
    <definedName function="false" hidden="false" localSheetId="2" name="_xlnm.Print_Area" vbProcedure="false">Заявка!$A$1:$E$46</definedName>
    <definedName function="false" hidden="false" localSheetId="2" name="_xlnm.Print_Area" vbProcedure="false">Заявка!$A$1:$E$46</definedName>
    <definedName function="false" hidden="false" localSheetId="2" name="_xlnm.Print_Area_0" vbProcedure="false">Заявка!$A$1:$E$46</definedName>
    <definedName function="false" hidden="false" localSheetId="2" name="_xlnm.Print_Area_0_0" vbProcedure="false">Заявка!$A$1:$E$46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2.xml><?xml version="1.0" encoding="utf-8"?>
<comments xmlns="http://schemas.openxmlformats.org/spreadsheetml/2006/main" xmlns:xdr="http://schemas.openxmlformats.org/drawingml/2006/spreadsheetDrawing">
  <authors>
    <author/>
  </authors>
  <commentList>
    <comment ref="S7" authorId="0">
      <text>
        <r>
          <rPr>
            <sz val="10"/>
            <rFont val="Arial Cyr"/>
            <family val="2"/>
            <charset val="204"/>
          </rPr>
          <t>Михаил:
было 1103725,5</t>
        </r>
      </text>
    </comment>
    <comment ref="T7" authorId="0">
      <text>
        <r>
          <rPr>
            <sz val="10"/>
            <rFont val="Arial Cyr"/>
            <family val="2"/>
            <charset val="204"/>
          </rPr>
          <t>Михаил:
было 1761564,5</t>
        </r>
      </text>
    </comment>
    <comment ref="U7" authorId="0">
      <text>
        <r>
          <rPr>
            <sz val="10"/>
            <rFont val="Arial Cyr"/>
            <family val="2"/>
            <charset val="204"/>
          </rPr>
          <t>Михаил:
было 295924,5</t>
        </r>
      </text>
    </comment>
    <comment ref="V7" authorId="0">
      <text>
        <r>
          <rPr>
            <sz val="10"/>
            <rFont val="Arial Cyr"/>
            <family val="2"/>
            <charset val="204"/>
          </rPr>
          <t>Михаил:
было 522534,5
</t>
        </r>
      </text>
    </comment>
    <comment ref="W7" authorId="0">
      <text>
        <r>
          <rPr>
            <sz val="10"/>
            <rFont val="Arial Cyr"/>
            <family val="2"/>
            <charset val="204"/>
          </rPr>
          <t>Михаил:
было 834344,5</t>
        </r>
      </text>
    </comment>
    <comment ref="X7" authorId="0">
      <text>
        <r>
          <rPr>
            <sz val="10"/>
            <rFont val="Arial Cyr"/>
            <family val="2"/>
            <charset val="204"/>
          </rPr>
          <t>Михаил:
было 144417,3</t>
        </r>
      </text>
    </comment>
    <comment ref="Y7" authorId="0">
      <text>
        <r>
          <rPr>
            <sz val="10"/>
            <rFont val="Arial Cyr"/>
            <family val="2"/>
            <charset val="204"/>
          </rPr>
          <t>Михаил:
было 1243354</t>
        </r>
      </text>
    </comment>
    <comment ref="Z7" authorId="0">
      <text>
        <r>
          <rPr>
            <sz val="10"/>
            <rFont val="Arial Cyr"/>
            <family val="2"/>
            <charset val="204"/>
          </rPr>
          <t>Михаил:
было 1761564,5
</t>
        </r>
      </text>
    </comment>
    <comment ref="AA7" authorId="0">
      <text>
        <r>
          <rPr>
            <sz val="10"/>
            <rFont val="Arial Cyr"/>
            <family val="2"/>
            <charset val="204"/>
          </rPr>
          <t>Михаил:
было 3557284,2</t>
        </r>
      </text>
    </comment>
  </commentList>
</comments>
</file>

<file path=xl/sharedStrings.xml><?xml version="1.0" encoding="utf-8"?>
<sst xmlns="http://schemas.openxmlformats.org/spreadsheetml/2006/main" count="126" uniqueCount="109">
  <si>
    <t>Уважаемые заказчики!
Данная таблица поможет Вам быстро легко и БЕЗ ОШИБОК рассчитать комплектацию промышленного стеллажа обратите внимание: </t>
  </si>
  <si>
    <t>Лист "ДАННЫЕ":
Данная таблица поможет Вам быстро легко и БЕЗ ОШИБОК рассчитать комплектацию промышленного стеллажа обратите внимание:  </t>
  </si>
  <si>
    <t>Ячейки выбора - выпадающий список, из которого можно выбрать одно значение</t>
  </si>
  <si>
    <t>Ячейки ввода*, в которое можно внести изменения</t>
  </si>
  <si>
    <t>Справочные ячейки </t>
  </si>
  <si>
    <t>Ячейки результата</t>
  </si>
  <si>
    <t>*Если рядом с внесенными данными возникает красное поле "НЕСТАНДАРТ" - это означает, что данная позиция является нестандартной. В таком случае, стоимость этой позиции автоматически возрастает на 10% и увеличивается срок изготовления всего заказа. </t>
  </si>
  <si>
    <t>Лист "ЗАЯВКА":</t>
  </si>
  <si>
    <t>Необходимо вручную внести все позиции которые непросчитаны в заявке.
Не забывайте указывать название Вашей организации телефон и цвет заказа </t>
  </si>
  <si>
    <t>Убедительная просьба, заполняйте ВСЕ ячейки внимательно.
Надеемся на взаимопонимание и впредь хотим получать заявки в стандартном виде по электронной почте splus2003@mail.ru или факсом +7 (342) 205 77 82</t>
  </si>
  <si>
    <t>РАМА</t>
  </si>
  <si>
    <t>Профиль стойки</t>
  </si>
  <si>
    <t>Рама</t>
  </si>
  <si>
    <t>Справочное поле</t>
  </si>
  <si>
    <t>Балка профиль</t>
  </si>
  <si>
    <t>В100</t>
  </si>
  <si>
    <t>В125</t>
  </si>
  <si>
    <t>В150</t>
  </si>
  <si>
    <t>К75</t>
  </si>
  <si>
    <t>К95</t>
  </si>
  <si>
    <t>К115</t>
  </si>
  <si>
    <t>К120</t>
  </si>
  <si>
    <t>К135</t>
  </si>
  <si>
    <t>К155</t>
  </si>
  <si>
    <t>К175</t>
  </si>
  <si>
    <t>Материал стойки</t>
  </si>
  <si>
    <t>Оцинковка</t>
  </si>
  <si>
    <t>Поле выбора</t>
  </si>
  <si>
    <t>Толщина стойки</t>
  </si>
  <si>
    <t>Поле ввода</t>
  </si>
  <si>
    <t>Для покраски</t>
  </si>
  <si>
    <t>Материал стяжки</t>
  </si>
  <si>
    <t>Поле результата</t>
  </si>
  <si>
    <t>Толщина стяжки</t>
  </si>
  <si>
    <t>Материал подпятника</t>
  </si>
  <si>
    <t>Крашенный</t>
  </si>
  <si>
    <t>Момент инерции</t>
  </si>
  <si>
    <t>Глубина рамы</t>
  </si>
  <si>
    <t>Момент соп-ния</t>
  </si>
  <si>
    <t>Высота рамы</t>
  </si>
  <si>
    <t>Вес одной стойки</t>
  </si>
  <si>
    <r>
      <rPr>
        <b val="true"/>
        <i val="true"/>
        <vertAlign val="superscript"/>
        <sz val="8"/>
        <rFont val="Arial Cyr"/>
        <family val="2"/>
        <charset val="204"/>
      </rPr>
      <t>Модуль упругости Еx10</t>
    </r>
    <r>
      <rPr>
        <b val="true"/>
        <i val="true"/>
        <vertAlign val="superscript"/>
        <sz val="8"/>
        <rFont val="Arial Cyr"/>
        <family val="2"/>
        <charset val="204"/>
      </rPr>
      <t>6 кг/мм2</t>
    </r>
  </si>
  <si>
    <t>Большая стяжка</t>
  </si>
  <si>
    <t>Вес одной стяжки</t>
  </si>
  <si>
    <t>Предел текучести</t>
  </si>
  <si>
    <t>Малая стяжка</t>
  </si>
  <si>
    <t>Коэффициент запаса</t>
  </si>
  <si>
    <t>Кол-во втулок</t>
  </si>
  <si>
    <t>Вес одной втулки</t>
  </si>
  <si>
    <t>Длина балки</t>
  </si>
  <si>
    <t>Кол-во подпятников на одну раму</t>
  </si>
  <si>
    <t>Вес одного подпятника</t>
  </si>
  <si>
    <t>Вес одного болта</t>
  </si>
  <si>
    <t>Кол-во анкеров М10х95</t>
  </si>
  <si>
    <t>Вес одного анкера</t>
  </si>
  <si>
    <t>Вес одной гайки</t>
  </si>
  <si>
    <t>прогиб</t>
  </si>
  <si>
    <t>нагрузка</t>
  </si>
  <si>
    <t>Вес рамы </t>
  </si>
  <si>
    <t>Кол-во рам</t>
  </si>
  <si>
    <t>Общий вес рам</t>
  </si>
  <si>
    <t>количество секций </t>
  </si>
  <si>
    <t>Кол-во выравн. пластин на 1 стойку</t>
  </si>
  <si>
    <t>Вес пластин</t>
  </si>
  <si>
    <t>количество ярусов </t>
  </si>
  <si>
    <t>БАЛКА 1</t>
  </si>
  <si>
    <t>количество балок </t>
  </si>
  <si>
    <t>Размер профиля</t>
  </si>
  <si>
    <t>Толщина профиля</t>
  </si>
  <si>
    <t>Длина профиля</t>
  </si>
  <si>
    <t>Вес одной балки</t>
  </si>
  <si>
    <t>Одинокий отбойник</t>
  </si>
  <si>
    <t>Нагрузка на пару балок (справочное. тест.)</t>
  </si>
  <si>
    <t>Отбойник </t>
  </si>
  <si>
    <t>Анкер 10*95</t>
  </si>
  <si>
    <t>Кол-во балок</t>
  </si>
  <si>
    <t>Общий вес балок</t>
  </si>
  <si>
    <t>Защита ряда </t>
  </si>
  <si>
    <t>БАЛКА 2</t>
  </si>
  <si>
    <t>труба</t>
  </si>
  <si>
    <t>Анкера </t>
  </si>
  <si>
    <t>Болт 10*20</t>
  </si>
  <si>
    <t>Гайка М 10</t>
  </si>
  <si>
    <t>Общий вес заказа</t>
  </si>
  <si>
    <t>Наименование заказчика </t>
  </si>
  <si>
    <t>МДМ </t>
  </si>
  <si>
    <t>Контактное лицо </t>
  </si>
  <si>
    <t>телефон </t>
  </si>
  <si>
    <t>e-mail</t>
  </si>
  <si>
    <t>цвет заказа по каталогу RAL </t>
  </si>
  <si>
    <t>Наименование</t>
  </si>
  <si>
    <t>Кол-во</t>
  </si>
  <si>
    <t>Втулка</t>
  </si>
  <si>
    <t>Выравнивающие пластины</t>
  </si>
  <si>
    <t>Анкер М10х95</t>
  </si>
  <si>
    <t>Болт М8х20</t>
  </si>
  <si>
    <t>Гайка М8</t>
  </si>
  <si>
    <t>НЕ ЗАБЫТЬ при необходимости внести </t>
  </si>
  <si>
    <t>шт</t>
  </si>
  <si>
    <t>размер</t>
  </si>
  <si>
    <t>ещё один вид балки </t>
  </si>
  <si>
    <t>соединитель спаренного ряда</t>
  </si>
  <si>
    <t>отбойник</t>
  </si>
  <si>
    <t>защита спаренного ряда</t>
  </si>
  <si>
    <t>балка поперечная </t>
  </si>
  <si>
    <t>балка портальная </t>
  </si>
  <si>
    <t>траверса</t>
  </si>
  <si>
    <t>ограничитель паллеты</t>
  </si>
  <si>
    <t>разделители</t>
  </si>
</sst>
</file>

<file path=xl/styles.xml><?xml version="1.0" encoding="utf-8"?>
<styleSheet xmlns="http://schemas.openxmlformats.org/spreadsheetml/2006/main">
  <numFmts count="20">
    <numFmt numFmtId="164" formatCode="GENERAL"/>
    <numFmt numFmtId="165" formatCode="_-* #,##0.00&quot;р.&quot;_-;\-* #,##0.00&quot;р.&quot;_-;_-* \-??&quot;р.&quot;_-;_-@_-"/>
    <numFmt numFmtId="166" formatCode="@"/>
    <numFmt numFmtId="167" formatCode="#,##0.00&quot;р.&quot;"/>
    <numFmt numFmtId="168" formatCode="_-* ###0&quot; мм&quot;_-;\-* ###0&quot; мм&quot;_-;_-* \-??&quot; мм&quot;_-;_-@_-"/>
    <numFmt numFmtId="169" formatCode="0.00"/>
    <numFmt numFmtId="170" formatCode="#,##0.00&quot; кг&quot;"/>
    <numFmt numFmtId="171" formatCode="0.00&quot; мм&quot;"/>
    <numFmt numFmtId="172" formatCode="0.00&quot; кг&quot;"/>
    <numFmt numFmtId="173" formatCode="0.00&quot; мм4&quot;"/>
    <numFmt numFmtId="174" formatCode="0.00&quot; мм3&quot;"/>
    <numFmt numFmtId="175" formatCode="#,##0&quot; кг&quot;"/>
    <numFmt numFmtId="176" formatCode="0.0"/>
    <numFmt numFmtId="177" formatCode="0"/>
    <numFmt numFmtId="178" formatCode="_-* #,##0.00&quot; кг&quot;_-;\-* #,##0.00&quot;кг&quot;_-;_-* \-??&quot;кг&quot;_-;_-@_-"/>
    <numFmt numFmtId="179" formatCode="#,##0.0000"/>
    <numFmt numFmtId="180" formatCode="0.00&quot; Н/мм&quot;"/>
    <numFmt numFmtId="181" formatCode="0.00&quot; МПа&quot;"/>
    <numFmt numFmtId="182" formatCode="0.0000"/>
    <numFmt numFmtId="183" formatCode="_-* #,##0.00_р_._-;\-* #,##0.00_р_._-;_-* \-??_р_._-;_-@_-"/>
  </numFmts>
  <fonts count="21">
    <font>
      <sz val="10"/>
      <name val="Arial Cyr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name val="Arial Cyr"/>
      <family val="2"/>
      <charset val="204"/>
    </font>
    <font>
      <sz val="10"/>
      <color rgb="FF000000"/>
      <name val="Arial Cyr"/>
      <family val="2"/>
      <charset val="204"/>
    </font>
    <font>
      <sz val="10"/>
      <color rgb="FF0000FF"/>
      <name val="Arial Cyr"/>
      <family val="2"/>
      <charset val="204"/>
    </font>
    <font>
      <b val="true"/>
      <i val="true"/>
      <sz val="10"/>
      <name val="Arial Cyr"/>
      <family val="2"/>
      <charset val="204"/>
    </font>
    <font>
      <b val="true"/>
      <sz val="10"/>
      <name val="Arial Cyr"/>
      <family val="2"/>
      <charset val="204"/>
    </font>
    <font>
      <b val="true"/>
      <i val="true"/>
      <sz val="10"/>
      <color rgb="FF00FF00"/>
      <name val="Arial Cyr"/>
      <family val="2"/>
      <charset val="204"/>
    </font>
    <font>
      <b val="true"/>
      <i val="true"/>
      <sz val="10"/>
      <color rgb="FF000000"/>
      <name val="Arial Cyr"/>
      <family val="2"/>
      <charset val="204"/>
    </font>
    <font>
      <b val="true"/>
      <i val="true"/>
      <sz val="8"/>
      <name val="Arial Cyr"/>
      <family val="2"/>
      <charset val="204"/>
    </font>
    <font>
      <b val="true"/>
      <i val="true"/>
      <sz val="10"/>
      <color rgb="FF0000FF"/>
      <name val="Arial Cyr"/>
      <family val="2"/>
      <charset val="204"/>
    </font>
    <font>
      <b val="true"/>
      <i val="true"/>
      <vertAlign val="superscript"/>
      <sz val="8"/>
      <name val="Arial Cyr"/>
      <family val="2"/>
      <charset val="204"/>
    </font>
    <font>
      <b val="true"/>
      <sz val="14"/>
      <name val="Arial Cyr"/>
      <family val="2"/>
      <charset val="204"/>
    </font>
    <font>
      <sz val="2"/>
      <name val="Arial Cyr"/>
      <family val="2"/>
      <charset val="204"/>
    </font>
    <font>
      <b val="true"/>
      <sz val="10"/>
      <color rgb="FFFF0000"/>
      <name val="Arial Cyr"/>
      <family val="2"/>
      <charset val="204"/>
    </font>
    <font>
      <b val="true"/>
      <sz val="10"/>
      <color rgb="FF0000FF"/>
      <name val="Arial Cyr"/>
      <family val="2"/>
      <charset val="204"/>
    </font>
    <font>
      <b val="true"/>
      <sz val="10"/>
      <color rgb="FF00FF00"/>
      <name val="Arial Cyr"/>
      <family val="2"/>
      <charset val="204"/>
    </font>
    <font>
      <sz val="14"/>
      <name val="Arial Cyr"/>
      <family val="2"/>
      <charset val="204"/>
    </font>
    <font>
      <b val="true"/>
      <sz val="12"/>
      <name val="Arial Cyr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CC33"/>
        <bgColor rgb="FF00FF00"/>
      </patternFill>
    </fill>
    <fill>
      <patternFill patternType="solid">
        <fgColor rgb="FFFF9900"/>
        <bgColor rgb="FFFFCC00"/>
      </patternFill>
    </fill>
    <fill>
      <patternFill patternType="solid">
        <fgColor rgb="FF66FFFF"/>
        <bgColor rgb="FF33CCCC"/>
      </patternFill>
    </fill>
    <fill>
      <patternFill patternType="solid">
        <fgColor rgb="FFFF0000"/>
        <bgColor rgb="FF993300"/>
      </patternFill>
    </fill>
    <fill>
      <patternFill patternType="solid">
        <fgColor rgb="FF00FF00"/>
        <bgColor rgb="FF00CC33"/>
      </patternFill>
    </fill>
    <fill>
      <patternFill patternType="solid">
        <fgColor rgb="FF00FFFF"/>
        <bgColor rgb="FF00FFFF"/>
      </patternFill>
    </fill>
    <fill>
      <patternFill patternType="solid">
        <fgColor rgb="FFCCFFCC"/>
        <bgColor rgb="FFCCFFFF"/>
      </patternFill>
    </fill>
    <fill>
      <patternFill patternType="solid">
        <fgColor rgb="FFCCFFFF"/>
        <bgColor rgb="FFCCFFFF"/>
      </patternFill>
    </fill>
    <fill>
      <patternFill patternType="solid">
        <fgColor rgb="FFCC99FF"/>
        <bgColor rgb="FF9999FF"/>
      </patternFill>
    </fill>
  </fills>
  <borders count="34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/>
      <right style="medium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2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4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5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true"/>
    </xf>
    <xf numFmtId="165" fontId="0" fillId="0" borderId="0" xfId="17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7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0" fillId="0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6" fontId="8" fillId="2" borderId="1" xfId="17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7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5" fontId="0" fillId="4" borderId="2" xfId="17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7" fillId="6" borderId="3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7" fillId="6" borderId="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7" fillId="6" borderId="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7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7" fillId="6" borderId="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7" fillId="6" borderId="5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7" fillId="6" borderId="6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0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8" fillId="2" borderId="7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7" fillId="2" borderId="7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5" fontId="0" fillId="2" borderId="2" xfId="17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7" fillId="6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9" fillId="2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0" fillId="6" borderId="8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8" fontId="7" fillId="6" borderId="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8" fontId="7" fillId="6" borderId="5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8" fontId="7" fillId="6" borderId="6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6" fontId="8" fillId="2" borderId="7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5" fontId="0" fillId="7" borderId="2" xfId="17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7" fillId="6" borderId="0" xfId="17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7" fillId="6" borderId="7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5" fontId="0" fillId="8" borderId="2" xfId="17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5" fontId="7" fillId="6" borderId="3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5" fontId="7" fillId="6" borderId="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5" fontId="7" fillId="6" borderId="9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5" fontId="7" fillId="6" borderId="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0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4" fontId="7" fillId="6" borderId="1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5" fontId="7" fillId="6" borderId="1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5" fontId="7" fillId="6" borderId="1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5" fontId="7" fillId="6" borderId="1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5" fontId="7" fillId="6" borderId="13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7" fillId="6" borderId="10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4" fontId="11" fillId="6" borderId="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9" fontId="7" fillId="6" borderId="9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9" fontId="7" fillId="6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9" fontId="7" fillId="6" borderId="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7" fillId="6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9" fontId="7" fillId="6" borderId="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6" fontId="8" fillId="2" borderId="7" xfId="17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0" fillId="0" borderId="0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11" fillId="6" borderId="1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9" fontId="7" fillId="6" borderId="1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9" fontId="7" fillId="6" borderId="1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9" fontId="7" fillId="6" borderId="1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7" fillId="6" borderId="1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9" fontId="7" fillId="6" borderId="1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6" fontId="8" fillId="7" borderId="2" xfId="17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7" fillId="7" borderId="2" xfId="17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4" fontId="12" fillId="0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0" fontId="0" fillId="4" borderId="14" xfId="17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7" fillId="4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9" fillId="4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0" fillId="4" borderId="8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4" borderId="0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4" borderId="14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5" fontId="8" fillId="0" borderId="0" xfId="17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7" fillId="4" borderId="0" xfId="17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7" fillId="4" borderId="0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0" fillId="4" borderId="14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7" fontId="7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1" fillId="6" borderId="15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7" fillId="6" borderId="1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71" fontId="8" fillId="0" borderId="16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72" fontId="8" fillId="0" borderId="17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8" fillId="0" borderId="17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3" fontId="8" fillId="0" borderId="17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4" fontId="8" fillId="0" borderId="18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4" fontId="8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6" fontId="8" fillId="8" borderId="1" xfId="17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7" fillId="8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0" fontId="0" fillId="4" borderId="18" xfId="17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7" fillId="6" borderId="19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7" fillId="6" borderId="19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6" fontId="8" fillId="8" borderId="7" xfId="17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7" fillId="8" borderId="7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7" fillId="8" borderId="1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7" fillId="6" borderId="20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7" fillId="7" borderId="2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9" fontId="7" fillId="0" borderId="0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6" fontId="8" fillId="8" borderId="7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5" fontId="12" fillId="0" borderId="21" xfId="17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70" fontId="0" fillId="4" borderId="1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7" fillId="7" borderId="5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8" fontId="7" fillId="7" borderId="6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5" fontId="7" fillId="8" borderId="6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8" fillId="2" borderId="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7" fillId="2" borderId="2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5" fontId="12" fillId="0" borderId="21" xfId="17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1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8" fillId="8" borderId="7" xfId="17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15" fillId="0" borderId="0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8" fillId="8" borderId="7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9" fontId="0" fillId="0" borderId="0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9" fontId="16" fillId="0" borderId="0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76" fontId="16" fillId="0" borderId="0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6" fontId="0" fillId="0" borderId="0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8" fillId="8" borderId="10" xfId="17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70" fontId="0" fillId="4" borderId="2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9" fontId="8" fillId="0" borderId="22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9" fontId="8" fillId="0" borderId="0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7" fillId="4" borderId="2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4" borderId="22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4" borderId="22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7" fillId="0" borderId="0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5" fontId="7" fillId="0" borderId="0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72" fontId="8" fillId="0" borderId="0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77" fontId="17" fillId="0" borderId="0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9" fontId="8" fillId="0" borderId="23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8" fillId="7" borderId="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8" fillId="7" borderId="2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78" fontId="5" fillId="5" borderId="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2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7" fillId="0" borderId="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9" fontId="7" fillId="5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79" fontId="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1" fillId="0" borderId="0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72" fontId="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0" fillId="9" borderId="2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9" borderId="25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9" borderId="26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6" fontId="8" fillId="2" borderId="27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7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0" fillId="0" borderId="0" xfId="0" applyFont="false" applyBorder="true" applyAlignment="true" applyProtection="true">
      <alignment horizontal="center" vertical="bottom" textRotation="0" wrapText="false" indent="0" shrinkToFit="false"/>
      <protection locked="true" hidden="true"/>
    </xf>
    <xf numFmtId="170" fontId="5" fillId="4" borderId="23" xfId="17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7" fillId="4" borderId="23" xfId="17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0" fillId="4" borderId="23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7" fillId="4" borderId="23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9" fontId="0" fillId="4" borderId="23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80" fontId="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80" fontId="8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9" borderId="28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9" borderId="14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9" borderId="29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78" fontId="12" fillId="0" borderId="0" xfId="17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7" fillId="6" borderId="21" xfId="17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79" fontId="7" fillId="0" borderId="0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81" fontId="8" fillId="0" borderId="0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81" fontId="8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0" fillId="10" borderId="3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10" borderId="31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10" borderId="32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6" fontId="8" fillId="2" borderId="9" xfId="17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7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5" fontId="0" fillId="0" borderId="0" xfId="17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5" fontId="7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1" fontId="16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71" fontId="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9" fontId="8" fillId="0" borderId="0" xfId="0" applyFont="true" applyBorder="true" applyAlignment="true" applyProtection="true">
      <alignment horizontal="right" vertical="center" textRotation="0" wrapText="true" indent="0" shrinkToFit="false"/>
      <protection locked="true" hidden="true"/>
    </xf>
    <xf numFmtId="164" fontId="16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8" fillId="4" borderId="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7" fillId="4" borderId="6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7" fillId="0" borderId="0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4" fontId="8" fillId="0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71" fontId="8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8" fillId="7" borderId="27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8" fontId="7" fillId="7" borderId="2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0" fillId="4" borderId="14" xfId="17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7" fillId="4" borderId="14" xfId="17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0" fillId="4" borderId="14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8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6" fontId="0" fillId="11" borderId="33" xfId="17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8" fillId="4" borderId="27" xfId="17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75" fontId="7" fillId="4" borderId="2" xfId="17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72" fontId="7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0" xfId="17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0" fillId="10" borderId="1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8" fillId="0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8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7" fillId="0" borderId="0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82" fontId="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0" fontId="0" fillId="5" borderId="2" xfId="17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0" fillId="0" borderId="2" xfId="17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82" fontId="7" fillId="5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2" fontId="8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11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7" fillId="0" borderId="17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7" fillId="6" borderId="8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9" fillId="6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7" fillId="4" borderId="1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18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83" fontId="0" fillId="5" borderId="2" xfId="17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0" fillId="5" borderId="2" xfId="17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0" fillId="5" borderId="2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7" fillId="5" borderId="2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true"/>
    </xf>
    <xf numFmtId="164" fontId="19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true"/>
    </xf>
    <xf numFmtId="164" fontId="0" fillId="9" borderId="14" xfId="0" applyFont="true" applyBorder="true" applyAlignment="false" applyProtection="true">
      <alignment horizontal="general" vertical="bottom" textRotation="0" wrapText="false" indent="0" shrinkToFit="false"/>
      <protection locked="false" hidden="true"/>
    </xf>
    <xf numFmtId="164" fontId="8" fillId="10" borderId="1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8" fillId="10" borderId="1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8" fillId="10" borderId="14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20" fillId="0" borderId="14" xfId="0" applyFont="true" applyBorder="true" applyAlignment="false" applyProtection="true">
      <alignment horizontal="general" vertical="bottom" textRotation="0" wrapText="false" indent="0" shrinkToFit="false"/>
      <protection locked="false" hidden="true"/>
    </xf>
    <xf numFmtId="164" fontId="4" fillId="0" borderId="14" xfId="0" applyFont="true" applyBorder="true" applyAlignment="false" applyProtection="true">
      <alignment horizontal="general" vertical="bottom" textRotation="0" wrapText="false" indent="0" shrinkToFit="false"/>
      <protection locked="false" hidden="true"/>
    </xf>
    <xf numFmtId="164" fontId="4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true"/>
    </xf>
    <xf numFmtId="164" fontId="4" fillId="9" borderId="14" xfId="0" applyFont="true" applyBorder="true" applyAlignment="false" applyProtection="true">
      <alignment horizontal="general" vertical="bottom" textRotation="0" wrapText="false" indent="0" shrinkToFit="false"/>
      <protection locked="false" hidden="true"/>
    </xf>
    <xf numFmtId="164" fontId="0" fillId="9" borderId="14" xfId="0" applyFont="false" applyBorder="true" applyAlignment="false" applyProtection="true">
      <alignment horizontal="general" vertical="bottom" textRotation="0" wrapText="false" indent="0" shrinkToFit="false"/>
      <protection locked="false" hidden="tru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4">
    <dxf>
      <fill>
        <patternFill>
          <bgColor rgb="FFFFFFFF"/>
        </patternFill>
      </fill>
    </dxf>
    <dxf>
      <font>
        <b val="1"/>
        <i val="0"/>
      </font>
      <fill>
        <patternFill>
          <bgColor rgb="FFFF0000"/>
        </patternFill>
      </fill>
    </dxf>
    <dxf>
      <fill>
        <patternFill>
          <bgColor rgb="FFFFFFFF"/>
        </patternFill>
      </fill>
    </dxf>
    <dxf>
      <font>
        <b val="1"/>
        <i val="0"/>
      </font>
      <fill>
        <patternFill>
          <bgColor rgb="FFFF000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66FF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CC33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splus2003@mail.ru" TargetMode="Externa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6553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3" activeCellId="0" sqref="C3"/>
    </sheetView>
  </sheetViews>
  <sheetFormatPr defaultRowHeight="15.5"/>
  <cols>
    <col collapsed="false" hidden="false" max="1" min="1" style="1" width="129.724489795918"/>
    <col collapsed="false" hidden="false" max="1025" min="2" style="1" width="8.50510204081633"/>
  </cols>
  <sheetData>
    <row r="1" customFormat="false" ht="49.25" hidden="false" customHeight="false" outlineLevel="0" collapsed="false">
      <c r="A1" s="2" t="s">
        <v>0</v>
      </c>
      <c r="C1" s="0"/>
    </row>
    <row r="2" customFormat="false" ht="15" hidden="false" customHeight="false" outlineLevel="0" collapsed="false">
      <c r="A2" s="0"/>
      <c r="C2" s="0"/>
    </row>
    <row r="3" customFormat="false" ht="25.35" hidden="false" customHeight="false" outlineLevel="0" collapsed="false">
      <c r="A3" s="2" t="s">
        <v>1</v>
      </c>
      <c r="C3" s="0"/>
    </row>
    <row r="4" customFormat="false" ht="14.9" hidden="false" customHeight="true" outlineLevel="0" collapsed="false">
      <c r="A4" s="3" t="s">
        <v>2</v>
      </c>
      <c r="C4" s="4"/>
    </row>
    <row r="5" customFormat="false" ht="13.9" hidden="false" customHeight="true" outlineLevel="0" collapsed="false">
      <c r="A5" s="5" t="s">
        <v>3</v>
      </c>
    </row>
    <row r="6" customFormat="false" ht="15" hidden="false" customHeight="false" outlineLevel="0" collapsed="false">
      <c r="A6" s="6" t="s">
        <v>4</v>
      </c>
    </row>
    <row r="7" customFormat="false" ht="15" hidden="false" customHeight="false" outlineLevel="0" collapsed="false">
      <c r="A7" s="7" t="s">
        <v>5</v>
      </c>
    </row>
    <row r="8" customFormat="false" ht="15" hidden="false" customHeight="false" outlineLevel="0" collapsed="false">
      <c r="A8" s="0"/>
    </row>
    <row r="9" customFormat="false" ht="37.3" hidden="false" customHeight="false" outlineLevel="0" collapsed="false">
      <c r="A9" s="2" t="s">
        <v>6</v>
      </c>
    </row>
    <row r="10" customFormat="false" ht="15" hidden="false" customHeight="false" outlineLevel="0" collapsed="false">
      <c r="A10" s="0"/>
    </row>
    <row r="11" customFormat="false" ht="15" hidden="false" customHeight="false" outlineLevel="0" collapsed="false">
      <c r="A11" s="1" t="s">
        <v>7</v>
      </c>
    </row>
    <row r="12" customFormat="false" ht="25.35" hidden="false" customHeight="false" outlineLevel="0" collapsed="false">
      <c r="A12" s="2" t="s">
        <v>8</v>
      </c>
    </row>
    <row r="13" customFormat="false" ht="15" hidden="false" customHeight="false" outlineLevel="0" collapsed="false">
      <c r="A13" s="0"/>
    </row>
    <row r="14" customFormat="false" ht="37.3" hidden="false" customHeight="false" outlineLevel="0" collapsed="false">
      <c r="A14" s="8" t="s">
        <v>9</v>
      </c>
    </row>
    <row r="15" customFormat="false" ht="12.8" hidden="false" customHeight="false" outlineLevel="0" collapsed="false"/>
    <row r="16" customFormat="false" ht="15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hyperlinks>
    <hyperlink ref="A14" r:id="rId1" display="Убедительная просьба, заполняйте ВСЕ ячейки внимательно.&#10;Надеемся на взаимопонимание и впредь хотим получать заявки в стандартном виде по электронной почте splus2003@mail.ru или факсом +7 (342) 205 77 82"/>
  </hyperlink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L61"/>
  <sheetViews>
    <sheetView windowProtection="false" showFormulas="false" showGridLines="true" showRowColHeaders="true" showZeros="true" rightToLeft="false" tabSelected="false" showOutlineSymbols="true" defaultGridColor="true" view="normal" topLeftCell="A25" colorId="64" zoomScale="100" zoomScaleNormal="100" zoomScalePageLayoutView="100" workbookViewId="0">
      <selection pane="topLeft" activeCell="L23" activeCellId="0" sqref="L23"/>
    </sheetView>
  </sheetViews>
  <sheetFormatPr defaultRowHeight="12.5"/>
  <cols>
    <col collapsed="false" hidden="false" max="1" min="1" style="9" width="42.9285714285714"/>
    <col collapsed="false" hidden="false" max="2" min="2" style="9" width="11.2040816326531"/>
    <col collapsed="false" hidden="false" max="3" min="3" style="10" width="12.5561224489796"/>
    <col collapsed="false" hidden="false" max="4" min="4" style="11" width="16.3316326530612"/>
    <col collapsed="false" hidden="true" max="5" min="5" style="11" width="0"/>
    <col collapsed="false" hidden="true" max="11" min="6" style="9" width="0"/>
    <col collapsed="false" hidden="false" max="12" min="12" style="9" width="21.3265306122449"/>
    <col collapsed="false" hidden="true" max="31" min="13" style="9" width="0"/>
    <col collapsed="false" hidden="false" max="35" min="32" style="9" width="8.50510204081633"/>
    <col collapsed="false" hidden="false" max="36" min="36" style="9" width="12.9591836734694"/>
    <col collapsed="false" hidden="false" max="37" min="37" style="9" width="13.3622448979592"/>
    <col collapsed="false" hidden="false" max="1025" min="38" style="9" width="8.50510204081633"/>
  </cols>
  <sheetData>
    <row r="1" customFormat="false" ht="13.5" hidden="false" customHeight="false" outlineLevel="0" collapsed="false">
      <c r="A1" s="12" t="s">
        <v>10</v>
      </c>
      <c r="B1" s="0"/>
      <c r="C1" s="0"/>
      <c r="D1" s="10"/>
      <c r="E1" s="0"/>
      <c r="F1" s="0"/>
      <c r="G1" s="0"/>
      <c r="H1" s="0"/>
      <c r="I1" s="0"/>
      <c r="J1" s="0"/>
      <c r="K1" s="0"/>
      <c r="L1" s="13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</row>
    <row r="2" customFormat="false" ht="13.5" hidden="false" customHeight="false" outlineLevel="0" collapsed="false">
      <c r="A2" s="14" t="s">
        <v>11</v>
      </c>
      <c r="B2" s="15" t="n">
        <v>90</v>
      </c>
      <c r="C2" s="0"/>
      <c r="D2" s="16"/>
      <c r="E2" s="17" t="s">
        <v>12</v>
      </c>
      <c r="F2" s="18" t="n">
        <v>55</v>
      </c>
      <c r="G2" s="17" t="n">
        <v>75</v>
      </c>
      <c r="H2" s="18" t="n">
        <v>90</v>
      </c>
      <c r="I2" s="19" t="n">
        <v>110</v>
      </c>
      <c r="J2" s="0"/>
      <c r="K2" s="20"/>
      <c r="L2" s="9" t="s">
        <v>13</v>
      </c>
      <c r="M2" s="20"/>
      <c r="N2" s="20" t="n">
        <f aca="false">IF(B2=90,IF(B4=1.5,3.13,IF(B4=2,4.2)),IF(B2=75,IF(B4=1.5,2.74,0),IF(B2=110,IF(B4=1.5,3.8,IF(B4=2,5.04)),IF(B2=55,IF(B4=1.5,2.03),0))))</f>
        <v>3.13</v>
      </c>
      <c r="O2" s="20"/>
      <c r="P2" s="21"/>
      <c r="Q2" s="22" t="s">
        <v>14</v>
      </c>
      <c r="R2" s="23" t="s">
        <v>15</v>
      </c>
      <c r="S2" s="22" t="s">
        <v>16</v>
      </c>
      <c r="T2" s="23" t="s">
        <v>17</v>
      </c>
      <c r="U2" s="22" t="s">
        <v>18</v>
      </c>
      <c r="V2" s="23" t="s">
        <v>19</v>
      </c>
      <c r="W2" s="22" t="s">
        <v>20</v>
      </c>
      <c r="X2" s="22" t="s">
        <v>21</v>
      </c>
      <c r="Y2" s="22" t="s">
        <v>22</v>
      </c>
      <c r="Z2" s="24" t="s">
        <v>23</v>
      </c>
      <c r="AA2" s="22" t="s">
        <v>24</v>
      </c>
      <c r="AB2" s="25"/>
      <c r="AC2" s="25"/>
      <c r="AD2" s="25"/>
      <c r="AE2" s="0"/>
      <c r="AF2" s="0"/>
      <c r="AG2" s="0"/>
      <c r="AH2" s="0"/>
      <c r="AI2" s="0"/>
      <c r="AJ2" s="0"/>
      <c r="AK2" s="0"/>
      <c r="AL2" s="0"/>
    </row>
    <row r="3" customFormat="false" ht="13.5" hidden="false" customHeight="false" outlineLevel="0" collapsed="false">
      <c r="A3" s="26" t="s">
        <v>25</v>
      </c>
      <c r="B3" s="27" t="s">
        <v>26</v>
      </c>
      <c r="C3" s="0"/>
      <c r="D3" s="28"/>
      <c r="E3" s="17" t="n">
        <v>400</v>
      </c>
      <c r="F3" s="29" t="n">
        <v>600</v>
      </c>
      <c r="G3" s="30" t="n">
        <v>600</v>
      </c>
      <c r="H3" s="30" t="n">
        <v>600</v>
      </c>
      <c r="I3" s="31" t="n">
        <v>600</v>
      </c>
      <c r="J3" s="0"/>
      <c r="K3" s="18" t="n">
        <v>0.5</v>
      </c>
      <c r="L3" s="9" t="s">
        <v>27</v>
      </c>
      <c r="M3" s="32"/>
      <c r="N3" s="32"/>
      <c r="O3" s="32"/>
      <c r="P3" s="32"/>
      <c r="Q3" s="22"/>
      <c r="R3" s="33" t="n">
        <v>100</v>
      </c>
      <c r="S3" s="34" t="n">
        <v>125</v>
      </c>
      <c r="T3" s="33" t="n">
        <v>150</v>
      </c>
      <c r="U3" s="34" t="n">
        <v>75</v>
      </c>
      <c r="V3" s="33" t="n">
        <v>95</v>
      </c>
      <c r="W3" s="34" t="n">
        <v>115</v>
      </c>
      <c r="X3" s="33" t="n">
        <v>120</v>
      </c>
      <c r="Y3" s="33" t="n">
        <v>135</v>
      </c>
      <c r="Z3" s="35" t="n">
        <v>155</v>
      </c>
      <c r="AA3" s="33" t="n">
        <v>175</v>
      </c>
      <c r="AB3" s="25"/>
      <c r="AC3" s="25"/>
      <c r="AD3" s="25"/>
      <c r="AE3" s="0"/>
      <c r="AF3" s="0"/>
      <c r="AG3" s="0"/>
      <c r="AH3" s="0"/>
      <c r="AI3" s="0"/>
      <c r="AJ3" s="0"/>
      <c r="AK3" s="0"/>
      <c r="AL3" s="0"/>
    </row>
    <row r="4" customFormat="false" ht="13.5" hidden="false" customHeight="false" outlineLevel="0" collapsed="false">
      <c r="A4" s="36" t="s">
        <v>28</v>
      </c>
      <c r="B4" s="27" t="n">
        <v>1.5</v>
      </c>
      <c r="C4" s="0"/>
      <c r="D4" s="37"/>
      <c r="E4" s="38" t="n">
        <v>450</v>
      </c>
      <c r="F4" s="29" t="n">
        <v>600</v>
      </c>
      <c r="G4" s="30" t="n">
        <v>600</v>
      </c>
      <c r="H4" s="30" t="n">
        <v>600</v>
      </c>
      <c r="I4" s="31" t="n">
        <v>600</v>
      </c>
      <c r="J4" s="0"/>
      <c r="K4" s="39" t="n">
        <v>0.8</v>
      </c>
      <c r="L4" s="9" t="s">
        <v>29</v>
      </c>
      <c r="M4" s="32"/>
      <c r="N4" s="32"/>
      <c r="O4" s="32"/>
      <c r="P4" s="32"/>
      <c r="Q4" s="22" t="s">
        <v>30</v>
      </c>
      <c r="R4" s="33" t="n">
        <v>312</v>
      </c>
      <c r="S4" s="34" t="n">
        <v>337</v>
      </c>
      <c r="T4" s="33" t="n">
        <v>362</v>
      </c>
      <c r="U4" s="34" t="n">
        <f aca="false">2*U3+100</f>
        <v>250</v>
      </c>
      <c r="V4" s="33" t="n">
        <f aca="false">2*V3+100</f>
        <v>290</v>
      </c>
      <c r="W4" s="34" t="n">
        <f aca="false">2*W3+100</f>
        <v>330</v>
      </c>
      <c r="X4" s="33" t="n">
        <v>240</v>
      </c>
      <c r="Y4" s="33" t="n">
        <f aca="false">2*Y3+100</f>
        <v>370</v>
      </c>
      <c r="Z4" s="33" t="n">
        <f aca="false">2*Z3+100</f>
        <v>410</v>
      </c>
      <c r="AA4" s="33" t="n">
        <v>450</v>
      </c>
      <c r="AB4" s="25"/>
      <c r="AC4" s="25"/>
      <c r="AD4" s="25"/>
      <c r="AE4" s="0"/>
      <c r="AF4" s="0"/>
      <c r="AG4" s="0"/>
      <c r="AH4" s="0"/>
      <c r="AI4" s="0"/>
      <c r="AJ4" s="0"/>
      <c r="AK4" s="0"/>
      <c r="AL4" s="0"/>
    </row>
    <row r="5" customFormat="false" ht="13.5" hidden="false" customHeight="false" outlineLevel="0" collapsed="false">
      <c r="A5" s="26" t="s">
        <v>31</v>
      </c>
      <c r="B5" s="27" t="s">
        <v>26</v>
      </c>
      <c r="C5" s="0"/>
      <c r="D5" s="40"/>
      <c r="E5" s="29" t="n">
        <v>500</v>
      </c>
      <c r="F5" s="29" t="n">
        <v>600</v>
      </c>
      <c r="G5" s="30" t="n">
        <v>600</v>
      </c>
      <c r="H5" s="30" t="n">
        <v>600</v>
      </c>
      <c r="I5" s="31" t="n">
        <v>600</v>
      </c>
      <c r="J5" s="20"/>
      <c r="K5" s="39" t="n">
        <v>1</v>
      </c>
      <c r="L5" s="9" t="s">
        <v>32</v>
      </c>
      <c r="M5" s="32"/>
      <c r="N5" s="32"/>
      <c r="O5" s="32"/>
      <c r="P5" s="32"/>
      <c r="Q5" s="18" t="n">
        <v>1.5</v>
      </c>
      <c r="R5" s="41" t="n">
        <v>118.9</v>
      </c>
      <c r="S5" s="42" t="n">
        <v>118.67</v>
      </c>
      <c r="T5" s="41" t="n">
        <v>126.45</v>
      </c>
      <c r="U5" s="42" t="n">
        <v>68.52</v>
      </c>
      <c r="V5" s="41" t="n">
        <v>71.19</v>
      </c>
      <c r="W5" s="43" t="n">
        <v>80.98</v>
      </c>
      <c r="X5" s="42"/>
      <c r="Y5" s="42" t="n">
        <v>87.21</v>
      </c>
      <c r="Z5" s="44" t="n">
        <v>93.44</v>
      </c>
      <c r="AA5" s="42"/>
      <c r="AB5" s="25"/>
      <c r="AC5" s="25"/>
      <c r="AD5" s="25"/>
      <c r="AE5" s="0"/>
      <c r="AF5" s="0"/>
      <c r="AG5" s="0"/>
      <c r="AH5" s="0"/>
      <c r="AI5" s="0"/>
      <c r="AJ5" s="0"/>
      <c r="AK5" s="0"/>
      <c r="AL5" s="0"/>
    </row>
    <row r="6" customFormat="false" ht="13.5" hidden="false" customHeight="false" outlineLevel="0" collapsed="false">
      <c r="A6" s="36" t="s">
        <v>33</v>
      </c>
      <c r="B6" s="27" t="n">
        <v>1.5</v>
      </c>
      <c r="C6" s="0"/>
      <c r="D6" s="10"/>
      <c r="E6" s="38" t="n">
        <v>550</v>
      </c>
      <c r="F6" s="29" t="n">
        <v>600</v>
      </c>
      <c r="G6" s="30" t="n">
        <v>600</v>
      </c>
      <c r="H6" s="30" t="n">
        <v>600</v>
      </c>
      <c r="I6" s="31" t="n">
        <v>600</v>
      </c>
      <c r="J6" s="20"/>
      <c r="K6" s="39" t="n">
        <v>1.5</v>
      </c>
      <c r="L6" s="45"/>
      <c r="M6" s="32"/>
      <c r="N6" s="32"/>
      <c r="O6" s="32"/>
      <c r="P6" s="32"/>
      <c r="Q6" s="46" t="n">
        <v>1.8</v>
      </c>
      <c r="R6" s="47" t="n">
        <v>157.61</v>
      </c>
      <c r="S6" s="48" t="n">
        <v>169.14</v>
      </c>
      <c r="T6" s="47" t="n">
        <v>180.67</v>
      </c>
      <c r="U6" s="48" t="n">
        <v>94.88</v>
      </c>
      <c r="V6" s="47" t="n">
        <v>104.11</v>
      </c>
      <c r="W6" s="49" t="n">
        <v>113.33</v>
      </c>
      <c r="X6" s="48"/>
      <c r="Y6" s="48" t="n">
        <v>122.56</v>
      </c>
      <c r="Z6" s="50" t="n">
        <v>131.78</v>
      </c>
      <c r="AA6" s="48"/>
      <c r="AB6" s="25"/>
      <c r="AC6" s="25"/>
      <c r="AD6" s="25"/>
      <c r="AE6" s="0"/>
      <c r="AF6" s="0"/>
      <c r="AG6" s="0"/>
      <c r="AH6" s="0"/>
      <c r="AI6" s="0"/>
      <c r="AJ6" s="0"/>
      <c r="AK6" s="0"/>
      <c r="AL6" s="0"/>
    </row>
    <row r="7" customFormat="false" ht="13.5" hidden="false" customHeight="false" outlineLevel="0" collapsed="false">
      <c r="A7" s="26" t="s">
        <v>34</v>
      </c>
      <c r="B7" s="27" t="s">
        <v>35</v>
      </c>
      <c r="C7" s="0"/>
      <c r="D7" s="10"/>
      <c r="E7" s="29" t="n">
        <v>600</v>
      </c>
      <c r="F7" s="29" t="n">
        <v>600</v>
      </c>
      <c r="G7" s="30" t="n">
        <v>600</v>
      </c>
      <c r="H7" s="30" t="n">
        <v>600</v>
      </c>
      <c r="I7" s="31" t="n">
        <v>600</v>
      </c>
      <c r="J7" s="20"/>
      <c r="K7" s="51" t="n">
        <f aca="false">IF($B$3="Оцинковка",2,1.8)</f>
        <v>2</v>
      </c>
      <c r="L7" s="45"/>
      <c r="M7" s="32"/>
      <c r="N7" s="32"/>
      <c r="O7" s="32"/>
      <c r="P7" s="32"/>
      <c r="Q7" s="52" t="s">
        <v>36</v>
      </c>
      <c r="R7" s="53" t="n">
        <v>631745.4</v>
      </c>
      <c r="S7" s="54" t="n">
        <v>1000000</v>
      </c>
      <c r="T7" s="55" t="n">
        <v>1450000</v>
      </c>
      <c r="U7" s="56" t="n">
        <v>320000</v>
      </c>
      <c r="V7" s="57" t="n">
        <v>570000</v>
      </c>
      <c r="W7" s="53" t="n">
        <v>880000</v>
      </c>
      <c r="X7" s="54" t="n">
        <v>1350000</v>
      </c>
      <c r="Y7" s="54" t="n">
        <v>1550000</v>
      </c>
      <c r="Z7" s="54" t="n">
        <v>2000000</v>
      </c>
      <c r="AA7" s="54" t="n">
        <v>2750000</v>
      </c>
      <c r="AB7" s="25"/>
      <c r="AC7" s="25"/>
      <c r="AD7" s="25"/>
      <c r="AE7" s="0"/>
      <c r="AF7" s="0"/>
      <c r="AG7" s="0"/>
      <c r="AH7" s="0"/>
      <c r="AI7" s="0"/>
      <c r="AJ7" s="0"/>
      <c r="AK7" s="0"/>
      <c r="AL7" s="0"/>
    </row>
    <row r="8" customFormat="false" ht="13.5" hidden="false" customHeight="false" outlineLevel="0" collapsed="false">
      <c r="A8" s="58" t="s">
        <v>37</v>
      </c>
      <c r="B8" s="27" t="n">
        <v>1050</v>
      </c>
      <c r="C8" s="0"/>
      <c r="D8" s="10"/>
      <c r="E8" s="38" t="n">
        <v>650</v>
      </c>
      <c r="F8" s="29" t="n">
        <v>600</v>
      </c>
      <c r="G8" s="30" t="n">
        <v>600</v>
      </c>
      <c r="H8" s="30" t="n">
        <v>600</v>
      </c>
      <c r="I8" s="31" t="n">
        <v>600</v>
      </c>
      <c r="J8" s="20"/>
      <c r="K8" s="25"/>
      <c r="L8" s="59"/>
      <c r="M8" s="25"/>
      <c r="N8" s="25"/>
      <c r="O8" s="25"/>
      <c r="P8" s="25"/>
      <c r="Q8" s="60" t="s">
        <v>38</v>
      </c>
      <c r="R8" s="61" t="n">
        <f aca="false">R7/50</f>
        <v>12634.908</v>
      </c>
      <c r="S8" s="62" t="n">
        <f aca="false">S7/62.5</f>
        <v>16000</v>
      </c>
      <c r="T8" s="63" t="n">
        <f aca="false">T7/75</f>
        <v>19333.3333333333</v>
      </c>
      <c r="U8" s="64" t="n">
        <f aca="false">U7/37.5</f>
        <v>8533.33333333333</v>
      </c>
      <c r="V8" s="65" t="n">
        <f aca="false">V7/47.5</f>
        <v>12000</v>
      </c>
      <c r="W8" s="61" t="n">
        <f aca="false">W7/57.5</f>
        <v>15304.347826087</v>
      </c>
      <c r="X8" s="62" t="n">
        <f aca="false">X7/60</f>
        <v>22500</v>
      </c>
      <c r="Y8" s="62" t="n">
        <f aca="false">Y7/67.5</f>
        <v>22962.962962963</v>
      </c>
      <c r="Z8" s="62" t="n">
        <f aca="false">Z7/77.5</f>
        <v>25806.4516129032</v>
      </c>
      <c r="AA8" s="62" t="n">
        <f aca="false">AA7/87.5</f>
        <v>31428.5714285714</v>
      </c>
      <c r="AB8" s="25"/>
      <c r="AC8" s="25"/>
      <c r="AD8" s="25"/>
      <c r="AE8" s="0"/>
      <c r="AF8" s="0"/>
      <c r="AG8" s="0"/>
      <c r="AH8" s="0"/>
      <c r="AI8" s="0"/>
      <c r="AJ8" s="0"/>
      <c r="AK8" s="0"/>
      <c r="AL8" s="0"/>
    </row>
    <row r="9" customFormat="false" ht="12.8" hidden="false" customHeight="false" outlineLevel="0" collapsed="false">
      <c r="A9" s="66" t="s">
        <v>39</v>
      </c>
      <c r="B9" s="67" t="n">
        <v>3000</v>
      </c>
      <c r="C9" s="68"/>
      <c r="D9" s="69" t="n">
        <f aca="false">(B9/1000)*N2</f>
        <v>9.39</v>
      </c>
      <c r="E9" s="70" t="n">
        <v>700</v>
      </c>
      <c r="F9" s="70" t="n">
        <v>600</v>
      </c>
      <c r="G9" s="71" t="n">
        <v>600</v>
      </c>
      <c r="H9" s="71" t="n">
        <v>600</v>
      </c>
      <c r="I9" s="72" t="n">
        <v>600</v>
      </c>
      <c r="J9" s="70"/>
      <c r="K9" s="73"/>
      <c r="L9" s="74" t="s">
        <v>40</v>
      </c>
      <c r="M9" s="25"/>
      <c r="N9" s="75"/>
      <c r="O9" s="75"/>
      <c r="P9" s="25"/>
      <c r="Q9" s="25"/>
      <c r="R9" s="25"/>
      <c r="S9" s="0"/>
      <c r="T9" s="0"/>
      <c r="U9" s="0"/>
      <c r="V9" s="0"/>
      <c r="W9" s="0"/>
      <c r="X9" s="0"/>
      <c r="Y9" s="0"/>
      <c r="Z9" s="0"/>
      <c r="AA9" s="0"/>
      <c r="AB9" s="25"/>
      <c r="AC9" s="25"/>
      <c r="AD9" s="25"/>
      <c r="AE9" s="0"/>
      <c r="AF9" s="0"/>
      <c r="AG9" s="0"/>
      <c r="AH9" s="0"/>
      <c r="AI9" s="0"/>
      <c r="AJ9" s="0"/>
      <c r="AK9" s="0"/>
      <c r="AL9" s="0"/>
    </row>
    <row r="10" customFormat="false" ht="12.8" hidden="false" customHeight="false" outlineLevel="0" collapsed="false">
      <c r="A10" s="76"/>
      <c r="B10" s="0"/>
      <c r="C10" s="68"/>
      <c r="D10" s="69"/>
      <c r="E10" s="77" t="n">
        <v>750</v>
      </c>
      <c r="F10" s="70" t="n">
        <v>600</v>
      </c>
      <c r="G10" s="71" t="n">
        <v>600</v>
      </c>
      <c r="H10" s="71" t="n">
        <v>600</v>
      </c>
      <c r="I10" s="72" t="n">
        <v>600</v>
      </c>
      <c r="J10" s="70"/>
      <c r="K10" s="78"/>
      <c r="L10" s="79"/>
      <c r="M10" s="25"/>
      <c r="N10" s="20"/>
      <c r="O10" s="80"/>
      <c r="P10" s="25"/>
      <c r="Q10" s="81" t="s">
        <v>41</v>
      </c>
      <c r="R10" s="81"/>
      <c r="S10" s="82" t="n">
        <v>2.1</v>
      </c>
      <c r="T10" s="83"/>
      <c r="U10" s="84"/>
      <c r="V10" s="85"/>
      <c r="W10" s="86"/>
      <c r="X10" s="86"/>
      <c r="Y10" s="87" t="n">
        <f aca="false">INDEX(R2:AA8,6,MATCH(B23,R2:AA2,0))</f>
        <v>1000000</v>
      </c>
      <c r="Z10" s="88" t="n">
        <f aca="false">INDEX(R2:AA8,7,MATCH(B23,R2:AA2,0))</f>
        <v>16000</v>
      </c>
      <c r="AA10" s="89"/>
      <c r="AB10" s="25"/>
      <c r="AC10" s="25"/>
      <c r="AD10" s="25"/>
      <c r="AE10" s="0"/>
      <c r="AF10" s="0"/>
      <c r="AG10" s="0"/>
      <c r="AH10" s="0"/>
      <c r="AI10" s="0"/>
      <c r="AJ10" s="0"/>
      <c r="AK10" s="0"/>
      <c r="AL10" s="0"/>
    </row>
    <row r="11" customFormat="false" ht="12.8" hidden="false" customHeight="false" outlineLevel="0" collapsed="false">
      <c r="A11" s="90" t="s">
        <v>42</v>
      </c>
      <c r="B11" s="91" t="n">
        <f aca="false">IF(B2=55,INT((B9-45)/(INDEX(F3:I35,MATCH(B8,E3:E35,0),MATCH(B2,F2:I2,0))+50+50)),INT((B9-60.5)/INDEX(F3:I35,MATCH(B8,E3:E35,0),MATCH(B2,F2:I2,0))))</f>
        <v>4</v>
      </c>
      <c r="C11" s="91" t="n">
        <f aca="false">IF(B2=55,(ROUND(SQRT(((B8-86)^2)+(INDEX(F3:I35,MATCH(B8,E3:E35,0),MATCH(B2,F2:I2,0))^2)),0)+20),IF(B2=110,(ROUND(SQRT(((B8-145)^2)+(INDEX(F3:I35,MATCH(B8,E3:E35,0),MATCH(B2,F2:I2,0))^2)),0)+30),IF(B2=75,(ROUND(SQRT(((B8-123)^2)+(INDEX(F3:I35,MATCH(B8,E3:E35,0),MATCH(B2,F2:I2,0))^2)),0)+30),(ROUND(SQRT(((B8-123)^2)+(INDEX(F3:I35,MATCH(B8,E3:E35,0),MATCH(B2,F2:I2,0))^2)),0)+30))))</f>
        <v>1134</v>
      </c>
      <c r="D11" s="92" t="n">
        <f aca="false">IF(OR(B2=75,B2=90,B2=110),(C11/1000)*1,IF(B2=55,(C11/1000)*0.674))</f>
        <v>1.134</v>
      </c>
      <c r="E11" s="70" t="n">
        <v>800</v>
      </c>
      <c r="F11" s="70" t="n">
        <v>600</v>
      </c>
      <c r="G11" s="71" t="n">
        <v>600</v>
      </c>
      <c r="H11" s="71" t="n">
        <v>600</v>
      </c>
      <c r="I11" s="72" t="n">
        <v>600</v>
      </c>
      <c r="J11" s="70"/>
      <c r="K11" s="70"/>
      <c r="L11" s="74" t="s">
        <v>43</v>
      </c>
      <c r="M11" s="32"/>
      <c r="N11" s="20"/>
      <c r="O11" s="80"/>
      <c r="P11" s="25"/>
      <c r="Q11" s="93" t="s">
        <v>44</v>
      </c>
      <c r="R11" s="93"/>
      <c r="S11" s="94" t="n">
        <v>320</v>
      </c>
      <c r="T11" s="83"/>
      <c r="U11" s="83"/>
      <c r="V11" s="83"/>
      <c r="W11" s="83"/>
      <c r="X11" s="83"/>
      <c r="Y11" s="83"/>
      <c r="Z11" s="83"/>
      <c r="AA11" s="83"/>
      <c r="AB11" s="25"/>
      <c r="AC11" s="25"/>
      <c r="AD11" s="25"/>
      <c r="AE11" s="0"/>
      <c r="AF11" s="0"/>
      <c r="AG11" s="0"/>
      <c r="AH11" s="0"/>
      <c r="AI11" s="0"/>
      <c r="AJ11" s="0"/>
      <c r="AK11" s="0"/>
      <c r="AL11" s="0"/>
    </row>
    <row r="12" customFormat="false" ht="12.8" hidden="false" customHeight="false" outlineLevel="0" collapsed="false">
      <c r="A12" s="95" t="s">
        <v>45</v>
      </c>
      <c r="B12" s="96" t="n">
        <f aca="false">IF(B2=55,IF((B9-(INT((B9-45)/(INDEX(F3:I35,MATCH(B8,E3:E35,0),MATCH(B2,F2:I2,0))+50+50))*(INDEX(F3:I35,MATCH(B8,E3:E35,0),MATCH(B2,F2:I2,0))+50+50)+45))&lt;=180,(B11+1),(B11+2)),IF(B9&lt;=5000,IF(B13=4,3,2),IF(B9&lt;=7000,IF(B13=4,5,4),IF(B9&lt;=14000,IF(B13=4,7,6),"добавь данные"))))</f>
        <v>3</v>
      </c>
      <c r="C12" s="97" t="n">
        <f aca="false">IF(B2=55,((B8-86)+20),IF(B2=110,((B8-145)+30),IF(B2=75,((B8-123)+30),((B8-123)+30))))</f>
        <v>957</v>
      </c>
      <c r="D12" s="92" t="n">
        <f aca="false">IF(OR(B2=75,B2=90,B2=110),(C12/1000)*1,IF(B2=55,(C12/1000)*0.674))</f>
        <v>0.957</v>
      </c>
      <c r="E12" s="77" t="n">
        <v>850</v>
      </c>
      <c r="F12" s="70" t="n">
        <v>600</v>
      </c>
      <c r="G12" s="71" t="n">
        <v>600</v>
      </c>
      <c r="H12" s="71" t="n">
        <v>600</v>
      </c>
      <c r="I12" s="72" t="n">
        <v>600</v>
      </c>
      <c r="J12" s="70"/>
      <c r="K12" s="78"/>
      <c r="L12" s="79" t="s">
        <v>43</v>
      </c>
      <c r="M12" s="20"/>
      <c r="N12" s="25"/>
      <c r="O12" s="25"/>
      <c r="P12" s="25"/>
      <c r="Q12" s="98" t="s">
        <v>46</v>
      </c>
      <c r="R12" s="98"/>
      <c r="S12" s="99" t="n">
        <v>2.15</v>
      </c>
      <c r="T12" s="83"/>
      <c r="U12" s="83"/>
      <c r="V12" s="100"/>
      <c r="W12" s="101"/>
      <c r="X12" s="101"/>
      <c r="Y12" s="0"/>
      <c r="Z12" s="83"/>
      <c r="AA12" s="83"/>
      <c r="AB12" s="25"/>
      <c r="AC12" s="25"/>
      <c r="AD12" s="25"/>
      <c r="AE12" s="0"/>
      <c r="AF12" s="0"/>
      <c r="AG12" s="0"/>
      <c r="AH12" s="0"/>
      <c r="AI12" s="0"/>
      <c r="AJ12" s="0"/>
      <c r="AK12" s="0"/>
      <c r="AL12" s="0"/>
    </row>
    <row r="13" customFormat="false" ht="12.8" hidden="false" customHeight="false" outlineLevel="0" collapsed="false">
      <c r="A13" s="102" t="s">
        <v>47</v>
      </c>
      <c r="B13" s="96" t="n">
        <f aca="false">IF(B2=55,"0",IF((B9-(INT((B9-60.5)/INDEX(F3:I35,MATCH(B8,E3:E35,0),MATCH(B2,F2:I2,0)))*INDEX(F3:I35,MATCH(B8,E3:E35,0),MATCH(B2,F2:I2,0))+60.5))&lt;=164.5,2,4))</f>
        <v>4</v>
      </c>
      <c r="C13" s="103"/>
      <c r="D13" s="104" t="n">
        <f aca="false">0.01</f>
        <v>0.01</v>
      </c>
      <c r="E13" s="70" t="n">
        <v>900</v>
      </c>
      <c r="F13" s="70" t="n">
        <v>600</v>
      </c>
      <c r="G13" s="71" t="n">
        <v>600</v>
      </c>
      <c r="H13" s="71" t="n">
        <v>600</v>
      </c>
      <c r="I13" s="72" t="n">
        <v>600</v>
      </c>
      <c r="J13" s="70"/>
      <c r="K13" s="78"/>
      <c r="L13" s="79" t="s">
        <v>48</v>
      </c>
      <c r="M13" s="25"/>
      <c r="N13" s="75"/>
      <c r="O13" s="75"/>
      <c r="P13" s="25"/>
      <c r="Q13" s="105" t="s">
        <v>49</v>
      </c>
      <c r="R13" s="105"/>
      <c r="S13" s="106" t="n">
        <f aca="false">B25</f>
        <v>3600</v>
      </c>
      <c r="T13" s="107" t="n">
        <f aca="false">IF((((((S11/S12)*12*(INDEX(R2:AA8,7,MATCH(B23,R2:AA2,0))))/(S13^2))*2*S13)/9.81)&gt;(((((384/5)*(S13/200)*S10*(INDEX(R2:AA8,6,MATCH(B23,R2:AA2,0)))*10^5)/(S13^4))*2*S13)/9.81),ROUNDDOWN((((((384/5)*(S13/200)*S10*(INDEX(R2:AA8,6,MATCH(B23,R2:AA2,0)))*10^5)/(S13^4))*2*S13)/9.81),-2),ROUNDDOWN((((((S11/S12)*12*(INDEX(R2:AA8,7,MATCH(B23,R2:AA2,0))))/(S13^2))*2*S13)/9.81),-2))</f>
        <v>1200</v>
      </c>
      <c r="U13" s="83"/>
      <c r="V13" s="100"/>
      <c r="W13" s="101"/>
      <c r="X13" s="101"/>
      <c r="Y13" s="0"/>
      <c r="Z13" s="0"/>
      <c r="AA13" s="0"/>
      <c r="AB13" s="25"/>
      <c r="AC13" s="25"/>
      <c r="AD13" s="25"/>
      <c r="AE13" s="0"/>
      <c r="AF13" s="0"/>
      <c r="AG13" s="0"/>
      <c r="AH13" s="0"/>
      <c r="AI13" s="0"/>
      <c r="AJ13" s="0"/>
      <c r="AK13" s="0"/>
      <c r="AL13" s="0"/>
    </row>
    <row r="14" customFormat="false" ht="12.75" hidden="false" customHeight="true" outlineLevel="0" collapsed="false">
      <c r="A14" s="108" t="s">
        <v>50</v>
      </c>
      <c r="B14" s="109" t="n">
        <v>2</v>
      </c>
      <c r="C14" s="110"/>
      <c r="D14" s="104" t="n">
        <f aca="false">IF(B2=75,0.64,IF(B2=90,0.74,IF(B2=110,0.82,IF(B2=55,0.2))))</f>
        <v>0.74</v>
      </c>
      <c r="E14" s="77" t="n">
        <v>950</v>
      </c>
      <c r="F14" s="70" t="n">
        <v>600</v>
      </c>
      <c r="G14" s="71" t="n">
        <v>600</v>
      </c>
      <c r="H14" s="71" t="n">
        <v>600</v>
      </c>
      <c r="I14" s="72" t="n">
        <v>600</v>
      </c>
      <c r="J14" s="70"/>
      <c r="K14" s="78"/>
      <c r="L14" s="79" t="s">
        <v>51</v>
      </c>
      <c r="M14" s="25"/>
      <c r="N14" s="20"/>
      <c r="O14" s="32"/>
      <c r="P14" s="25"/>
      <c r="Q14" s="111"/>
      <c r="R14" s="111"/>
      <c r="S14" s="111"/>
      <c r="T14" s="111"/>
      <c r="U14" s="111"/>
      <c r="V14" s="0"/>
      <c r="W14" s="0"/>
      <c r="X14" s="0"/>
      <c r="Y14" s="0"/>
      <c r="Z14" s="112"/>
      <c r="AA14" s="112"/>
      <c r="AB14" s="25"/>
      <c r="AC14" s="25"/>
      <c r="AD14" s="25"/>
      <c r="AE14" s="0"/>
      <c r="AF14" s="0"/>
      <c r="AG14" s="0"/>
      <c r="AH14" s="0"/>
      <c r="AI14" s="0"/>
      <c r="AJ14" s="0"/>
      <c r="AK14" s="0"/>
      <c r="AL14" s="0"/>
    </row>
    <row r="15" customFormat="false" ht="12.8" hidden="false" customHeight="false" outlineLevel="0" collapsed="false">
      <c r="A15" s="113" t="str">
        <f aca="false">"Кол-во болтов "&amp;TEXT(IF(B2=55,"М6х35","М10х70"),0)</f>
        <v>Кол-во болтов М10х70</v>
      </c>
      <c r="B15" s="96" t="n">
        <f aca="false">IF(B2=55,(B11+B12)*2+B14,B11+B12+B13/2)+IF(B2=110,2,0)</f>
        <v>9</v>
      </c>
      <c r="C15" s="110"/>
      <c r="D15" s="104" t="n">
        <v>0.05</v>
      </c>
      <c r="E15" s="70" t="n">
        <v>1000</v>
      </c>
      <c r="F15" s="70" t="n">
        <v>600</v>
      </c>
      <c r="G15" s="71" t="n">
        <v>600</v>
      </c>
      <c r="H15" s="71" t="n">
        <v>600</v>
      </c>
      <c r="I15" s="72" t="n">
        <v>600</v>
      </c>
      <c r="J15" s="70"/>
      <c r="K15" s="78"/>
      <c r="L15" s="79" t="s">
        <v>52</v>
      </c>
      <c r="M15" s="25"/>
      <c r="N15" s="20"/>
      <c r="O15" s="32"/>
      <c r="P15" s="25"/>
      <c r="Q15" s="81" t="s">
        <v>41</v>
      </c>
      <c r="R15" s="81"/>
      <c r="S15" s="82" t="n">
        <v>2.1</v>
      </c>
      <c r="T15" s="83"/>
      <c r="U15" s="114"/>
      <c r="V15" s="114"/>
      <c r="W15" s="0"/>
      <c r="X15" s="0"/>
      <c r="Y15" s="0"/>
      <c r="Z15" s="114"/>
      <c r="AA15" s="114"/>
      <c r="AB15" s="25"/>
      <c r="AC15" s="25"/>
      <c r="AD15" s="25"/>
      <c r="AE15" s="0"/>
      <c r="AF15" s="0"/>
      <c r="AG15" s="0"/>
      <c r="AH15" s="0"/>
      <c r="AI15" s="0"/>
      <c r="AJ15" s="0"/>
      <c r="AK15" s="0"/>
      <c r="AL15" s="0"/>
    </row>
    <row r="16" customFormat="false" ht="12.8" hidden="false" customHeight="false" outlineLevel="0" collapsed="false">
      <c r="A16" s="115" t="str">
        <f aca="false">"Кол-во болтов "&amp;TEXT(IF(B2=55,"-","М10х20"),0)</f>
        <v>Кол-во болтов М10х20</v>
      </c>
      <c r="B16" s="96" t="n">
        <f aca="false">IF(B2=55,"0",(IF(B2=110,"0",B14*2)))</f>
        <v>4</v>
      </c>
      <c r="C16" s="103"/>
      <c r="D16" s="104" t="n">
        <v>0.022</v>
      </c>
      <c r="E16" s="70" t="n">
        <v>1050</v>
      </c>
      <c r="F16" s="70" t="n">
        <v>600</v>
      </c>
      <c r="G16" s="71" t="n">
        <v>600</v>
      </c>
      <c r="H16" s="71" t="n">
        <v>600</v>
      </c>
      <c r="I16" s="72" t="n">
        <v>600</v>
      </c>
      <c r="J16" s="70"/>
      <c r="K16" s="73"/>
      <c r="L16" s="74" t="s">
        <v>52</v>
      </c>
      <c r="M16" s="25"/>
      <c r="N16" s="25"/>
      <c r="O16" s="25"/>
      <c r="P16" s="25"/>
      <c r="Q16" s="93" t="s">
        <v>44</v>
      </c>
      <c r="R16" s="93"/>
      <c r="S16" s="94" t="n">
        <v>320</v>
      </c>
      <c r="T16" s="83"/>
      <c r="U16" s="0"/>
      <c r="V16" s="116"/>
      <c r="W16" s="117"/>
      <c r="X16" s="117"/>
      <c r="Y16" s="0"/>
      <c r="Z16" s="118"/>
      <c r="AA16" s="118"/>
      <c r="AB16" s="25"/>
      <c r="AC16" s="25"/>
      <c r="AD16" s="25"/>
      <c r="AE16" s="0"/>
      <c r="AF16" s="0"/>
      <c r="AG16" s="0"/>
      <c r="AH16" s="0"/>
      <c r="AI16" s="0"/>
      <c r="AJ16" s="0"/>
      <c r="AK16" s="0"/>
      <c r="AL16" s="0"/>
    </row>
    <row r="17" customFormat="false" ht="12.8" hidden="false" customHeight="false" outlineLevel="0" collapsed="false">
      <c r="A17" s="115" t="s">
        <v>53</v>
      </c>
      <c r="B17" s="96" t="n">
        <f aca="false">B14*2</f>
        <v>4</v>
      </c>
      <c r="C17" s="103"/>
      <c r="D17" s="104" t="n">
        <v>0.065</v>
      </c>
      <c r="E17" s="70" t="n">
        <v>1100</v>
      </c>
      <c r="F17" s="70" t="n">
        <v>600</v>
      </c>
      <c r="G17" s="71" t="n">
        <v>600</v>
      </c>
      <c r="H17" s="71" t="n">
        <v>600</v>
      </c>
      <c r="I17" s="72" t="n">
        <v>600</v>
      </c>
      <c r="J17" s="119"/>
      <c r="K17" s="73"/>
      <c r="L17" s="74" t="s">
        <v>54</v>
      </c>
      <c r="M17" s="25"/>
      <c r="N17" s="25"/>
      <c r="O17" s="25"/>
      <c r="P17" s="25"/>
      <c r="Q17" s="98" t="s">
        <v>46</v>
      </c>
      <c r="R17" s="98"/>
      <c r="S17" s="99" t="n">
        <v>2.15</v>
      </c>
      <c r="T17" s="83"/>
      <c r="U17" s="116"/>
      <c r="V17" s="116"/>
      <c r="W17" s="117"/>
      <c r="X17" s="117"/>
      <c r="Y17" s="120"/>
      <c r="Z17" s="118"/>
      <c r="AA17" s="118"/>
      <c r="AB17" s="25"/>
      <c r="AC17" s="25"/>
      <c r="AD17" s="25"/>
      <c r="AE17" s="0"/>
      <c r="AF17" s="0"/>
      <c r="AG17" s="0"/>
      <c r="AH17" s="0"/>
      <c r="AI17" s="0"/>
      <c r="AJ17" s="0"/>
      <c r="AK17" s="0"/>
      <c r="AL17" s="0"/>
    </row>
    <row r="18" customFormat="false" ht="13.4" hidden="false" customHeight="false" outlineLevel="0" collapsed="false">
      <c r="A18" s="121" t="str">
        <f aca="false">"Кол-во гаек "&amp;TEXT(IF(B2=55,"М6","М10"),0)</f>
        <v>Кол-во гаек М10</v>
      </c>
      <c r="B18" s="97" t="n">
        <f aca="false">IF(B2=55,B15,B15+B16)</f>
        <v>13</v>
      </c>
      <c r="C18" s="103"/>
      <c r="D18" s="122" t="n">
        <v>0.011</v>
      </c>
      <c r="E18" s="77" t="n">
        <v>1150</v>
      </c>
      <c r="F18" s="70" t="n">
        <v>600</v>
      </c>
      <c r="G18" s="71" t="n">
        <v>600</v>
      </c>
      <c r="H18" s="71" t="n">
        <v>600</v>
      </c>
      <c r="I18" s="72" t="n">
        <v>600</v>
      </c>
      <c r="J18" s="119"/>
      <c r="K18" s="73"/>
      <c r="L18" s="74" t="s">
        <v>55</v>
      </c>
      <c r="M18" s="25"/>
      <c r="N18" s="25"/>
      <c r="O18" s="25"/>
      <c r="P18" s="25"/>
      <c r="Q18" s="105" t="s">
        <v>49</v>
      </c>
      <c r="R18" s="105"/>
      <c r="S18" s="106" t="n">
        <f aca="false">B32</f>
        <v>2700</v>
      </c>
      <c r="T18" s="107" t="n">
        <f aca="false">IF((((((S16/S17)*12*(INDEX(R2:AA8,7,MATCH(B30,R2:AA2,0))))/(S18^2))*2*S18)/9.81)&gt;(((((384/5)*(S18/200)*S15*(INDEX(R2:AA8,6,MATCH(B30,R2:AA2,0)))*10^5)/(S18^4))*2*S18)/9.81),ROUNDDOWN((((((384/5)*(S18/200)*S15*(INDEX(R2:AA8,6,MATCH(B30,R2:AA2,0)))*10^5)/(S18^4))*2*S18)/9.81),-2),ROUNDDOWN((((((S16/S17)*12*(INDEX(R2:AA8,7,MATCH(B30,R2:AA2,0))))/(S18^2))*2*S18)/9.81),-2))</f>
        <v>3000</v>
      </c>
      <c r="U18" s="116"/>
      <c r="V18" s="123" t="s">
        <v>56</v>
      </c>
      <c r="W18" s="123" t="s">
        <v>57</v>
      </c>
      <c r="X18" s="124"/>
      <c r="Y18" s="120"/>
      <c r="Z18" s="118"/>
      <c r="AA18" s="118"/>
      <c r="AB18" s="25"/>
      <c r="AC18" s="25"/>
      <c r="AD18" s="25"/>
      <c r="AE18" s="0"/>
      <c r="AF18" s="0"/>
      <c r="AG18" s="0"/>
      <c r="AH18" s="0"/>
      <c r="AI18" s="0"/>
      <c r="AJ18" s="0"/>
      <c r="AK18" s="0"/>
      <c r="AL18" s="0"/>
    </row>
    <row r="19" customFormat="false" ht="13.4" hidden="false" customHeight="false" outlineLevel="0" collapsed="false">
      <c r="A19" s="0"/>
      <c r="B19" s="0"/>
      <c r="C19" s="0"/>
      <c r="D19" s="122" t="n">
        <f aca="false">D9*2+D11*B11+D12*B12+D14*B14+D15*B15+D17*B17+D18*B18+D13*B13+D16*B16</f>
        <v>28.648</v>
      </c>
      <c r="E19" s="125" t="n">
        <v>1200</v>
      </c>
      <c r="F19" s="70" t="n">
        <v>600</v>
      </c>
      <c r="G19" s="71" t="n">
        <v>600</v>
      </c>
      <c r="H19" s="71" t="n">
        <v>600</v>
      </c>
      <c r="I19" s="72" t="n">
        <v>600</v>
      </c>
      <c r="J19" s="126"/>
      <c r="K19" s="125"/>
      <c r="L19" s="127" t="s">
        <v>58</v>
      </c>
      <c r="M19" s="20"/>
      <c r="N19" s="20"/>
      <c r="O19" s="20"/>
      <c r="P19" s="25"/>
      <c r="Q19" s="128"/>
      <c r="R19" s="129"/>
      <c r="S19" s="130"/>
      <c r="T19" s="131"/>
      <c r="U19" s="116"/>
      <c r="V19" s="132" t="n">
        <f aca="false">ROUNDDOWN((((((384/5)*(S13/200)*S10*(INDEX(R2:AA8,6,MATCH(B23,R2:AA2,0)))*10^5)/(S13^4))*2*S13)/9.81),-2)</f>
        <v>1200</v>
      </c>
      <c r="W19" s="132" t="n">
        <f aca="false">ROUNDDOWN((((((S11/S12)*12*(INDEX(R2:AA8,7,MATCH(B23,R2:AA2,0))))/(S13^2))*2*S13)/9.81),-2)</f>
        <v>1600</v>
      </c>
      <c r="X19" s="124"/>
      <c r="Y19" s="120"/>
      <c r="Z19" s="118"/>
      <c r="AA19" s="118"/>
      <c r="AB19" s="25"/>
      <c r="AC19" s="25"/>
      <c r="AD19" s="25"/>
      <c r="AE19" s="0"/>
      <c r="AF19" s="0"/>
      <c r="AG19" s="0"/>
      <c r="AH19" s="0"/>
      <c r="AI19" s="0"/>
      <c r="AJ19" s="0"/>
      <c r="AK19" s="0"/>
      <c r="AL19" s="0"/>
    </row>
    <row r="20" customFormat="false" ht="13.5" hidden="false" customHeight="true" outlineLevel="0" collapsed="false">
      <c r="A20" s="133" t="s">
        <v>59</v>
      </c>
      <c r="B20" s="134"/>
      <c r="C20" s="0"/>
      <c r="D20" s="135" t="n">
        <f aca="false">D19*B20</f>
        <v>0</v>
      </c>
      <c r="E20" s="22" t="n">
        <v>1250</v>
      </c>
      <c r="F20" s="29" t="n">
        <v>600</v>
      </c>
      <c r="G20" s="30" t="n">
        <v>600</v>
      </c>
      <c r="H20" s="30" t="n">
        <v>600</v>
      </c>
      <c r="I20" s="31" t="n">
        <v>600</v>
      </c>
      <c r="J20" s="136"/>
      <c r="K20" s="137"/>
      <c r="L20" s="138" t="s">
        <v>60</v>
      </c>
      <c r="M20" s="139"/>
      <c r="N20" s="139"/>
      <c r="O20" s="139"/>
      <c r="P20" s="25"/>
      <c r="Q20" s="140"/>
      <c r="R20" s="129"/>
      <c r="S20" s="116"/>
      <c r="T20" s="131"/>
      <c r="U20" s="116"/>
      <c r="V20" s="141" t="n">
        <f aca="false">V19</f>
        <v>1200</v>
      </c>
      <c r="W20" s="130" t="n">
        <f aca="false">W19</f>
        <v>1600</v>
      </c>
      <c r="X20" s="130"/>
      <c r="Y20" s="120"/>
      <c r="Z20" s="118"/>
      <c r="AA20" s="118"/>
      <c r="AB20" s="25"/>
      <c r="AC20" s="142" t="s">
        <v>61</v>
      </c>
      <c r="AD20" s="143"/>
      <c r="AE20" s="144" t="n">
        <v>20</v>
      </c>
      <c r="AF20" s="0"/>
      <c r="AG20" s="0"/>
      <c r="AH20" s="0"/>
      <c r="AI20" s="0"/>
      <c r="AJ20" s="0"/>
      <c r="AK20" s="0"/>
      <c r="AL20" s="0"/>
    </row>
    <row r="21" customFormat="false" ht="12.8" hidden="false" customHeight="false" outlineLevel="0" collapsed="false">
      <c r="A21" s="145" t="s">
        <v>62</v>
      </c>
      <c r="B21" s="146" t="n">
        <v>3</v>
      </c>
      <c r="C21" s="147"/>
      <c r="D21" s="148" t="n">
        <f aca="false">B21*0.3*2</f>
        <v>1.8</v>
      </c>
      <c r="E21" s="149" t="n">
        <v>1300</v>
      </c>
      <c r="F21" s="70" t="n">
        <v>600</v>
      </c>
      <c r="G21" s="71" t="n">
        <v>600</v>
      </c>
      <c r="H21" s="71" t="n">
        <v>600</v>
      </c>
      <c r="I21" s="72" t="n">
        <v>600</v>
      </c>
      <c r="J21" s="150"/>
      <c r="K21" s="151"/>
      <c r="L21" s="152" t="s">
        <v>63</v>
      </c>
      <c r="M21" s="139"/>
      <c r="N21" s="139"/>
      <c r="O21" s="139"/>
      <c r="P21" s="25"/>
      <c r="Q21" s="100"/>
      <c r="R21" s="100"/>
      <c r="S21" s="100"/>
      <c r="T21" s="100"/>
      <c r="U21" s="100"/>
      <c r="V21" s="153" t="n">
        <f aca="false">(V20*9.81)/(2*S13)</f>
        <v>1.635</v>
      </c>
      <c r="W21" s="154" t="n">
        <f aca="false">(W20*9.81)/(2*S13)</f>
        <v>2.18</v>
      </c>
      <c r="X21" s="154"/>
      <c r="Y21" s="100"/>
      <c r="Z21" s="100"/>
      <c r="AA21" s="100"/>
      <c r="AB21" s="25"/>
      <c r="AC21" s="155" t="s">
        <v>64</v>
      </c>
      <c r="AD21" s="156"/>
      <c r="AE21" s="157" t="n">
        <v>5</v>
      </c>
      <c r="AF21" s="0"/>
      <c r="AG21" s="0"/>
      <c r="AH21" s="0"/>
      <c r="AI21" s="0"/>
      <c r="AJ21" s="0"/>
      <c r="AK21" s="0"/>
      <c r="AL21" s="0"/>
    </row>
    <row r="22" customFormat="false" ht="13.5" hidden="false" customHeight="false" outlineLevel="0" collapsed="false">
      <c r="A22" s="12" t="s">
        <v>65</v>
      </c>
      <c r="B22" s="0"/>
      <c r="C22" s="0"/>
      <c r="D22" s="158"/>
      <c r="E22" s="159" t="n">
        <v>1350</v>
      </c>
      <c r="F22" s="29" t="n">
        <v>600</v>
      </c>
      <c r="G22" s="30" t="n">
        <v>600</v>
      </c>
      <c r="H22" s="30" t="n">
        <v>600</v>
      </c>
      <c r="I22" s="31" t="n">
        <v>600</v>
      </c>
      <c r="J22" s="0"/>
      <c r="K22" s="20"/>
      <c r="L22" s="160"/>
      <c r="M22" s="139"/>
      <c r="N22" s="139"/>
      <c r="O22" s="139"/>
      <c r="P22" s="25"/>
      <c r="Q22" s="20"/>
      <c r="R22" s="25"/>
      <c r="S22" s="100"/>
      <c r="T22" s="83"/>
      <c r="U22" s="83"/>
      <c r="V22" s="161" t="n">
        <f aca="false">(V21*S13^2)/(12*Z10)</f>
        <v>110.3625</v>
      </c>
      <c r="W22" s="162" t="n">
        <f aca="false">(W21*S13^2)/(12*Z10)</f>
        <v>147.15</v>
      </c>
      <c r="X22" s="162"/>
      <c r="Y22" s="83"/>
      <c r="Z22" s="83"/>
      <c r="AA22" s="83"/>
      <c r="AB22" s="25"/>
      <c r="AC22" s="163" t="s">
        <v>66</v>
      </c>
      <c r="AD22" s="164"/>
      <c r="AE22" s="165" t="n">
        <f aca="false">AE20*AE21*2</f>
        <v>200</v>
      </c>
      <c r="AF22" s="0"/>
      <c r="AG22" s="0"/>
      <c r="AH22" s="0"/>
      <c r="AI22" s="0"/>
      <c r="AJ22" s="0"/>
      <c r="AK22" s="0"/>
      <c r="AL22" s="0"/>
    </row>
    <row r="23" customFormat="false" ht="13.5" hidden="false" customHeight="false" outlineLevel="0" collapsed="false">
      <c r="A23" s="166" t="s">
        <v>67</v>
      </c>
      <c r="B23" s="167" t="s">
        <v>16</v>
      </c>
      <c r="C23" s="0"/>
      <c r="D23" s="168"/>
      <c r="E23" s="159" t="n">
        <v>1400</v>
      </c>
      <c r="F23" s="29" t="n">
        <v>600</v>
      </c>
      <c r="G23" s="30" t="n">
        <v>600</v>
      </c>
      <c r="H23" s="30" t="n">
        <v>600</v>
      </c>
      <c r="I23" s="31" t="n">
        <v>600</v>
      </c>
      <c r="J23" s="0"/>
      <c r="K23" s="20"/>
      <c r="L23" s="139"/>
      <c r="M23" s="139"/>
      <c r="N23" s="139"/>
      <c r="O23" s="139"/>
      <c r="P23" s="25"/>
      <c r="Q23" s="75"/>
      <c r="R23" s="169"/>
      <c r="S23" s="100"/>
      <c r="T23" s="83"/>
      <c r="U23" s="170" t="n">
        <f aca="false">S13/200</f>
        <v>18</v>
      </c>
      <c r="V23" s="171" t="n">
        <f aca="false">(5/384)*((V21)*((S13)^4)/((S10*10^5)*Y10))</f>
        <v>17.0273571428571</v>
      </c>
      <c r="W23" s="172" t="n">
        <f aca="false">IF((S11/W22)&lt;S12,"мало",S11/W22)</f>
        <v>2.17465171593612</v>
      </c>
      <c r="X23" s="172"/>
      <c r="Y23" s="173" t="n">
        <f aca="false">S12</f>
        <v>2.15</v>
      </c>
      <c r="Z23" s="83"/>
      <c r="AA23" s="83"/>
      <c r="AB23" s="25"/>
      <c r="AC23" s="25"/>
      <c r="AD23" s="25"/>
      <c r="AE23" s="0"/>
      <c r="AF23" s="0"/>
      <c r="AG23" s="0"/>
      <c r="AH23" s="0"/>
      <c r="AI23" s="0"/>
      <c r="AJ23" s="0"/>
      <c r="AK23" s="0"/>
      <c r="AL23" s="0"/>
    </row>
    <row r="24" customFormat="false" ht="13.5" hidden="false" customHeight="false" outlineLevel="0" collapsed="false">
      <c r="A24" s="174" t="s">
        <v>68</v>
      </c>
      <c r="B24" s="175" t="n">
        <v>1.5</v>
      </c>
      <c r="C24" s="0"/>
      <c r="D24" s="168"/>
      <c r="E24" s="159" t="n">
        <v>1450</v>
      </c>
      <c r="F24" s="29" t="n">
        <v>600</v>
      </c>
      <c r="G24" s="30" t="n">
        <v>600</v>
      </c>
      <c r="H24" s="30" t="n">
        <v>600</v>
      </c>
      <c r="I24" s="31" t="n">
        <v>600</v>
      </c>
      <c r="J24" s="0"/>
      <c r="K24" s="176"/>
      <c r="L24" s="139"/>
      <c r="M24" s="139"/>
      <c r="N24" s="139"/>
      <c r="O24" s="139"/>
      <c r="P24" s="25"/>
      <c r="Q24" s="25"/>
      <c r="R24" s="25"/>
      <c r="S24" s="25"/>
      <c r="T24" s="0"/>
      <c r="U24" s="0"/>
      <c r="V24" s="177" t="n">
        <f aca="false">IF((S11/V22)&lt;S12,"мало",S11/V22)</f>
        <v>2.89953562124816</v>
      </c>
      <c r="W24" s="178" t="n">
        <f aca="false">(5/384)*((W21)*((S13)^4)/((S10*10^5)*Y10))</f>
        <v>22.7031428571429</v>
      </c>
      <c r="X24" s="178"/>
      <c r="Y24" s="83"/>
      <c r="Z24" s="83"/>
      <c r="AA24" s="83"/>
      <c r="AB24" s="25"/>
      <c r="AC24" s="25"/>
      <c r="AD24" s="25"/>
      <c r="AE24" s="0"/>
      <c r="AF24" s="0"/>
      <c r="AG24" s="0"/>
      <c r="AH24" s="0"/>
      <c r="AI24" s="0"/>
      <c r="AJ24" s="0"/>
      <c r="AK24" s="0"/>
      <c r="AL24" s="0"/>
    </row>
    <row r="25" customFormat="false" ht="12.8" hidden="false" customHeight="false" outlineLevel="0" collapsed="false">
      <c r="A25" s="179" t="s">
        <v>69</v>
      </c>
      <c r="B25" s="180" t="n">
        <v>3600</v>
      </c>
      <c r="C25" s="10" t="str">
        <f aca="false">IF(OR(B25=1800,B25=2300,B25=2700,B25=3200,B25=3600),"","нестандарт")</f>
        <v/>
      </c>
      <c r="D25" s="181" t="n">
        <f aca="false">IF(B23="В100", (B25/1000)*3.7,IF(B23="В125", (B25/1000)*4,IF(B23="В150", (B25/1000)*4.3,IF(B23="К75", (B25/1000)*4.16,IF(B23="К95", (B25/1000)*4.63,IF(B23="К115", (B25/1000)*5.1,IF(B23="К120", (B25/1000)*5.3,IF(B23="В100", (B25/1000)*3.7,IF(B23="К135", (B25/1000)*5.58,IF(B23="К155", (B25/1000)*6.04,IF(B23="К175", (B25/1000)*6.6,0)))))))))))+1.35</f>
        <v>15.75</v>
      </c>
      <c r="E25" s="182" t="n">
        <v>1500</v>
      </c>
      <c r="F25" s="70" t="n">
        <v>600</v>
      </c>
      <c r="G25" s="71" t="n">
        <v>600</v>
      </c>
      <c r="H25" s="71" t="n">
        <v>600</v>
      </c>
      <c r="I25" s="72" t="n">
        <v>600</v>
      </c>
      <c r="J25" s="183"/>
      <c r="K25" s="183"/>
      <c r="L25" s="183" t="s">
        <v>70</v>
      </c>
      <c r="M25" s="20"/>
      <c r="N25" s="25"/>
      <c r="O25" s="25"/>
      <c r="P25" s="25"/>
      <c r="Q25" s="25"/>
      <c r="R25" s="184"/>
      <c r="S25" s="25"/>
      <c r="T25" s="0"/>
      <c r="U25" s="0"/>
      <c r="V25" s="0"/>
      <c r="W25" s="0"/>
      <c r="X25" s="0"/>
      <c r="Y25" s="0"/>
      <c r="Z25" s="0"/>
      <c r="AA25" s="0"/>
      <c r="AB25" s="25"/>
      <c r="AC25" s="185" t="s">
        <v>71</v>
      </c>
      <c r="AD25" s="0"/>
      <c r="AE25" s="147"/>
      <c r="AF25" s="168"/>
      <c r="AG25" s="168"/>
      <c r="AH25" s="25"/>
      <c r="AI25" s="25"/>
      <c r="AJ25" s="25"/>
      <c r="AK25" s="25"/>
      <c r="AL25" s="75"/>
    </row>
    <row r="26" customFormat="false" ht="13.5" hidden="false" customHeight="false" outlineLevel="0" collapsed="false">
      <c r="A26" s="186" t="s">
        <v>72</v>
      </c>
      <c r="B26" s="187" t="n">
        <f aca="false">T13</f>
        <v>1200</v>
      </c>
      <c r="C26" s="188"/>
      <c r="D26" s="189"/>
      <c r="E26" s="189"/>
      <c r="F26" s="189"/>
      <c r="G26" s="189"/>
      <c r="H26" s="189"/>
      <c r="I26" s="189"/>
      <c r="J26" s="0"/>
      <c r="K26" s="25"/>
      <c r="L26" s="25"/>
      <c r="M26" s="25"/>
      <c r="N26" s="75"/>
      <c r="O26" s="75"/>
      <c r="P26" s="25"/>
      <c r="Q26" s="25"/>
      <c r="R26" s="184"/>
      <c r="S26" s="25"/>
      <c r="T26" s="25"/>
      <c r="U26" s="120"/>
      <c r="V26" s="118"/>
      <c r="W26" s="25"/>
      <c r="X26" s="25"/>
      <c r="Y26" s="0"/>
      <c r="Z26" s="0"/>
      <c r="AA26" s="0"/>
      <c r="AB26" s="25"/>
      <c r="AC26" s="190" t="s">
        <v>73</v>
      </c>
      <c r="AD26" s="190" t="n">
        <v>5</v>
      </c>
      <c r="AE26" s="10"/>
      <c r="AF26" s="168"/>
      <c r="AG26" s="168"/>
      <c r="AH26" s="100"/>
      <c r="AI26" s="100"/>
      <c r="AJ26" s="100"/>
      <c r="AK26" s="100"/>
      <c r="AL26" s="191"/>
    </row>
    <row r="27" customFormat="false" ht="13.5" hidden="false" customHeight="false" outlineLevel="0" collapsed="false">
      <c r="A27" s="192"/>
      <c r="B27" s="80"/>
      <c r="C27" s="188"/>
      <c r="D27" s="189"/>
      <c r="E27" s="189"/>
      <c r="F27" s="189"/>
      <c r="G27" s="189"/>
      <c r="H27" s="189"/>
      <c r="I27" s="189"/>
      <c r="J27" s="0"/>
      <c r="K27" s="193"/>
      <c r="L27" s="194"/>
      <c r="M27" s="25"/>
      <c r="N27" s="20"/>
      <c r="O27" s="80"/>
      <c r="P27" s="25"/>
      <c r="Q27" s="25"/>
      <c r="R27" s="25"/>
      <c r="S27" s="25"/>
      <c r="T27" s="25"/>
      <c r="U27" s="25"/>
      <c r="V27" s="25"/>
      <c r="W27" s="25"/>
      <c r="X27" s="25"/>
      <c r="Y27" s="0"/>
      <c r="Z27" s="0"/>
      <c r="AA27" s="0"/>
      <c r="AB27" s="25"/>
      <c r="AC27" s="190" t="s">
        <v>74</v>
      </c>
      <c r="AD27" s="190" t="n">
        <v>4</v>
      </c>
      <c r="AE27" s="10"/>
      <c r="AF27" s="168"/>
      <c r="AG27" s="168"/>
      <c r="AH27" s="100"/>
      <c r="AI27" s="100"/>
      <c r="AJ27" s="100"/>
      <c r="AK27" s="100"/>
      <c r="AL27" s="191"/>
    </row>
    <row r="28" customFormat="false" ht="12.8" hidden="false" customHeight="false" outlineLevel="0" collapsed="false">
      <c r="A28" s="133" t="s">
        <v>75</v>
      </c>
      <c r="B28" s="134"/>
      <c r="C28" s="188"/>
      <c r="D28" s="195" t="n">
        <f aca="false">D25*B28</f>
        <v>0</v>
      </c>
      <c r="E28" s="196"/>
      <c r="F28" s="196"/>
      <c r="G28" s="196"/>
      <c r="H28" s="196"/>
      <c r="I28" s="196"/>
      <c r="J28" s="136"/>
      <c r="K28" s="137"/>
      <c r="L28" s="197" t="s">
        <v>76</v>
      </c>
      <c r="M28" s="25"/>
      <c r="N28" s="20"/>
      <c r="O28" s="80"/>
      <c r="P28" s="25"/>
      <c r="Q28" s="25"/>
      <c r="R28" s="184"/>
      <c r="S28" s="198"/>
      <c r="T28" s="0"/>
      <c r="U28" s="0"/>
      <c r="V28" s="0"/>
      <c r="W28" s="0"/>
      <c r="X28" s="0"/>
      <c r="Y28" s="0"/>
      <c r="Z28" s="0"/>
      <c r="AA28" s="0"/>
      <c r="AB28" s="25"/>
      <c r="AC28" s="199" t="s">
        <v>77</v>
      </c>
      <c r="AD28" s="200"/>
      <c r="AE28" s="10"/>
      <c r="AF28" s="20"/>
      <c r="AG28" s="20"/>
      <c r="AH28" s="20"/>
      <c r="AI28" s="20"/>
      <c r="AJ28" s="20"/>
      <c r="AK28" s="20"/>
      <c r="AL28" s="75"/>
    </row>
    <row r="29" customFormat="false" ht="13.5" hidden="false" customHeight="false" outlineLevel="0" collapsed="false">
      <c r="A29" s="12" t="s">
        <v>78</v>
      </c>
      <c r="B29" s="0"/>
      <c r="C29" s="0"/>
      <c r="D29" s="158"/>
      <c r="E29" s="159" t="n">
        <v>1350</v>
      </c>
      <c r="F29" s="29" t="n">
        <v>850</v>
      </c>
      <c r="G29" s="29" t="n">
        <v>750</v>
      </c>
      <c r="H29" s="29" t="n">
        <v>750</v>
      </c>
      <c r="I29" s="201" t="n">
        <v>600</v>
      </c>
      <c r="J29" s="0"/>
      <c r="K29" s="20"/>
      <c r="L29" s="160"/>
      <c r="M29" s="25"/>
      <c r="N29" s="25"/>
      <c r="O29" s="25"/>
      <c r="P29" s="25"/>
      <c r="Q29" s="25"/>
      <c r="R29" s="25"/>
      <c r="S29" s="25"/>
      <c r="T29" s="0"/>
      <c r="U29" s="0"/>
      <c r="V29" s="0"/>
      <c r="W29" s="0"/>
      <c r="X29" s="0"/>
      <c r="Y29" s="0"/>
      <c r="Z29" s="0"/>
      <c r="AA29" s="0"/>
      <c r="AB29" s="25"/>
      <c r="AC29" s="190" t="s">
        <v>73</v>
      </c>
      <c r="AD29" s="190" t="n">
        <v>2</v>
      </c>
      <c r="AE29" s="10"/>
      <c r="AF29" s="168"/>
      <c r="AG29" s="168"/>
      <c r="AH29" s="25"/>
      <c r="AI29" s="25"/>
      <c r="AJ29" s="25"/>
      <c r="AK29" s="25"/>
      <c r="AL29" s="191"/>
    </row>
    <row r="30" customFormat="false" ht="13.5" hidden="false" customHeight="false" outlineLevel="0" collapsed="false">
      <c r="A30" s="166" t="s">
        <v>67</v>
      </c>
      <c r="B30" s="167" t="s">
        <v>21</v>
      </c>
      <c r="C30" s="0"/>
      <c r="D30" s="168"/>
      <c r="E30" s="159" t="n">
        <v>1400</v>
      </c>
      <c r="F30" s="29" t="n">
        <v>850</v>
      </c>
      <c r="G30" s="202" t="n">
        <v>800</v>
      </c>
      <c r="H30" s="202" t="n">
        <v>800</v>
      </c>
      <c r="I30" s="201" t="n">
        <v>650</v>
      </c>
      <c r="J30" s="0"/>
      <c r="K30" s="20"/>
      <c r="L30" s="139"/>
      <c r="M30" s="25"/>
      <c r="N30" s="75"/>
      <c r="O30" s="7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190" t="s">
        <v>79</v>
      </c>
      <c r="AD30" s="190" t="n">
        <v>2</v>
      </c>
      <c r="AE30" s="10"/>
      <c r="AF30" s="168"/>
      <c r="AG30" s="168"/>
      <c r="AH30" s="25"/>
      <c r="AI30" s="25"/>
      <c r="AJ30" s="25"/>
      <c r="AK30" s="25"/>
      <c r="AL30" s="191"/>
    </row>
    <row r="31" customFormat="false" ht="13.5" hidden="false" customHeight="false" outlineLevel="0" collapsed="false">
      <c r="A31" s="174" t="s">
        <v>68</v>
      </c>
      <c r="B31" s="175" t="n">
        <v>1.5</v>
      </c>
      <c r="C31" s="0"/>
      <c r="D31" s="168"/>
      <c r="E31" s="159" t="n">
        <v>1450</v>
      </c>
      <c r="F31" s="29" t="n">
        <v>850</v>
      </c>
      <c r="G31" s="29" t="n">
        <v>800</v>
      </c>
      <c r="H31" s="29" t="n">
        <v>800</v>
      </c>
      <c r="I31" s="201" t="n">
        <v>650</v>
      </c>
      <c r="J31" s="0"/>
      <c r="K31" s="176"/>
      <c r="L31" s="139"/>
      <c r="M31" s="25"/>
      <c r="N31" s="20"/>
      <c r="O31" s="139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190" t="s">
        <v>80</v>
      </c>
      <c r="AD31" s="190" t="n">
        <v>8</v>
      </c>
      <c r="AE31" s="10"/>
      <c r="AF31" s="168"/>
      <c r="AG31" s="168"/>
      <c r="AH31" s="25"/>
      <c r="AI31" s="25"/>
      <c r="AJ31" s="25"/>
      <c r="AK31" s="25"/>
      <c r="AL31" s="191"/>
    </row>
    <row r="32" customFormat="false" ht="12.8" hidden="false" customHeight="false" outlineLevel="0" collapsed="false">
      <c r="A32" s="179" t="s">
        <v>69</v>
      </c>
      <c r="B32" s="180" t="n">
        <v>2700</v>
      </c>
      <c r="C32" s="10" t="str">
        <f aca="false">IF(OR(B32=1800,B32=2300,B32=2700,B32=3200,B32=3600),"","нестандарт")</f>
        <v/>
      </c>
      <c r="D32" s="181" t="n">
        <f aca="false">IF(B30="В100", (B32/1000)*3.7,IF(B30="В125", (B32/1000)*4,IF(B30="В150", (B32/1000)*4.3,IF(B30="К75", (B32/1000)*4.16,IF(B30="К95", (B32/1000)*4.63,IF(B30="К115", (B32/1000)*5.1,IF(B30="К120", (B32/1000)*5.3,IF(B30="В100", (B32/1000)*3.7,IF(B30="К135", (B32/1000)*5.58,IF(B30="К155", (B32/1000)*6.04,IF(B30="К175", (B32/1000)*6.6,0)))))))))))+1.35</f>
        <v>15.66</v>
      </c>
      <c r="E32" s="182" t="n">
        <v>1500</v>
      </c>
      <c r="F32" s="203" t="n">
        <v>900</v>
      </c>
      <c r="G32" s="203" t="n">
        <v>850</v>
      </c>
      <c r="H32" s="203" t="n">
        <v>850</v>
      </c>
      <c r="I32" s="203" t="n">
        <v>700</v>
      </c>
      <c r="J32" s="183"/>
      <c r="K32" s="183"/>
      <c r="L32" s="183" t="s">
        <v>70</v>
      </c>
      <c r="M32" s="25"/>
      <c r="N32" s="20"/>
      <c r="O32" s="139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190" t="s">
        <v>81</v>
      </c>
      <c r="AD32" s="190" t="n">
        <v>20</v>
      </c>
      <c r="AE32" s="10"/>
      <c r="AF32" s="168"/>
      <c r="AG32" s="168"/>
      <c r="AH32" s="25"/>
      <c r="AI32" s="25"/>
      <c r="AJ32" s="25"/>
      <c r="AK32" s="25"/>
      <c r="AL32" s="191"/>
    </row>
    <row r="33" customFormat="false" ht="13.5" hidden="false" customHeight="false" outlineLevel="0" collapsed="false">
      <c r="A33" s="186" t="s">
        <v>72</v>
      </c>
      <c r="B33" s="187" t="n">
        <f aca="false">T18</f>
        <v>3000</v>
      </c>
      <c r="C33" s="188"/>
      <c r="D33" s="189"/>
      <c r="E33" s="189"/>
      <c r="F33" s="189"/>
      <c r="G33" s="189"/>
      <c r="H33" s="189"/>
      <c r="I33" s="189"/>
      <c r="J33" s="0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190" t="s">
        <v>82</v>
      </c>
      <c r="AD33" s="190" t="n">
        <v>8</v>
      </c>
      <c r="AE33" s="10"/>
      <c r="AF33" s="168"/>
      <c r="AG33" s="168"/>
      <c r="AH33" s="25"/>
      <c r="AI33" s="25"/>
      <c r="AJ33" s="25"/>
      <c r="AK33" s="25"/>
      <c r="AL33" s="191"/>
    </row>
    <row r="34" customFormat="false" ht="13.5" hidden="false" customHeight="false" outlineLevel="0" collapsed="false">
      <c r="A34" s="192"/>
      <c r="B34" s="80"/>
      <c r="C34" s="188"/>
      <c r="D34" s="189"/>
      <c r="E34" s="189"/>
      <c r="F34" s="189"/>
      <c r="G34" s="189"/>
      <c r="H34" s="189"/>
      <c r="I34" s="189"/>
      <c r="J34" s="0"/>
      <c r="K34" s="193"/>
      <c r="L34" s="194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</row>
    <row r="35" customFormat="false" ht="12.8" hidden="false" customHeight="false" outlineLevel="0" collapsed="false">
      <c r="A35" s="133" t="s">
        <v>75</v>
      </c>
      <c r="B35" s="134"/>
      <c r="C35" s="188"/>
      <c r="D35" s="195" t="n">
        <f aca="false">D32*B35</f>
        <v>0</v>
      </c>
      <c r="E35" s="196"/>
      <c r="F35" s="196"/>
      <c r="G35" s="196"/>
      <c r="H35" s="196"/>
      <c r="I35" s="196"/>
      <c r="J35" s="136"/>
      <c r="K35" s="137"/>
      <c r="L35" s="197" t="s">
        <v>76</v>
      </c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</row>
    <row r="36" customFormat="false" ht="12.5" hidden="false" customHeight="false" outlineLevel="0" collapsed="false">
      <c r="A36" s="0"/>
      <c r="B36" s="0"/>
      <c r="C36" s="0"/>
      <c r="D36" s="0"/>
      <c r="E36" s="0"/>
      <c r="F36" s="0"/>
      <c r="G36" s="0"/>
      <c r="H36" s="0"/>
      <c r="I36" s="0"/>
      <c r="J36" s="0"/>
      <c r="K36" s="0"/>
      <c r="L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</row>
    <row r="37" customFormat="false" ht="12.5" hidden="false" customHeight="false" outlineLevel="0" collapsed="false">
      <c r="A37" s="0"/>
      <c r="B37" s="0"/>
      <c r="C37" s="0"/>
      <c r="D37" s="0"/>
      <c r="E37" s="0"/>
      <c r="F37" s="0"/>
      <c r="G37" s="0"/>
      <c r="H37" s="0"/>
      <c r="I37" s="0"/>
      <c r="J37" s="0"/>
      <c r="K37" s="0"/>
      <c r="L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</row>
    <row r="38" customFormat="false" ht="12.5" hidden="false" customHeight="false" outlineLevel="0" collapsed="false">
      <c r="A38" s="0"/>
      <c r="B38" s="0"/>
      <c r="C38" s="0"/>
      <c r="D38" s="0"/>
      <c r="E38" s="0"/>
      <c r="F38" s="0"/>
      <c r="G38" s="0"/>
      <c r="H38" s="0"/>
      <c r="I38" s="0"/>
      <c r="J38" s="0"/>
      <c r="K38" s="0"/>
      <c r="L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</row>
    <row r="39" customFormat="false" ht="13" hidden="false" customHeight="false" outlineLevel="0" collapsed="false">
      <c r="A39" s="0"/>
      <c r="B39" s="0"/>
      <c r="C39" s="0"/>
      <c r="D39" s="189"/>
      <c r="E39" s="168"/>
      <c r="F39" s="204"/>
      <c r="G39" s="25"/>
      <c r="H39" s="0"/>
      <c r="I39" s="0"/>
      <c r="J39" s="0"/>
      <c r="K39" s="0"/>
      <c r="L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</row>
    <row r="40" customFormat="false" ht="13" hidden="false" customHeight="false" outlineLevel="0" collapsed="false">
      <c r="A40" s="0"/>
      <c r="B40" s="0"/>
      <c r="C40" s="0"/>
      <c r="D40" s="168"/>
      <c r="E40" s="168"/>
      <c r="F40" s="25"/>
      <c r="G40" s="25"/>
      <c r="H40" s="0"/>
      <c r="I40" s="0"/>
      <c r="J40" s="0"/>
      <c r="K40" s="0"/>
      <c r="L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</row>
    <row r="41" customFormat="false" ht="12.8" hidden="false" customHeight="false" outlineLevel="0" collapsed="false">
      <c r="A41" s="0"/>
      <c r="B41" s="0"/>
      <c r="C41" s="0"/>
      <c r="D41" s="205" t="n">
        <f aca="false">D28+D21+D20+D35</f>
        <v>1.8</v>
      </c>
      <c r="E41" s="206"/>
      <c r="F41" s="206"/>
      <c r="G41" s="206"/>
      <c r="H41" s="206"/>
      <c r="I41" s="206"/>
      <c r="J41" s="207"/>
      <c r="K41" s="208"/>
      <c r="L41" s="197" t="s">
        <v>83</v>
      </c>
      <c r="AB41" s="0"/>
      <c r="AC41" s="0"/>
      <c r="AD41" s="0"/>
      <c r="AE41" s="0"/>
      <c r="AF41" s="0"/>
      <c r="AG41" s="0"/>
      <c r="AH41" s="0"/>
      <c r="AI41" s="0"/>
      <c r="AJ41" s="0"/>
      <c r="AK41" s="0"/>
      <c r="AL41" s="0"/>
    </row>
    <row r="57" customFormat="false" ht="13" hidden="false" customHeight="false" outlineLevel="0" collapsed="false"/>
    <row r="58" customFormat="false" ht="13" hidden="false" customHeight="false" outlineLevel="0" collapsed="false"/>
    <row r="59" customFormat="false" ht="13" hidden="false" customHeight="false" outlineLevel="0" collapsed="false"/>
    <row r="60" customFormat="false" ht="13" hidden="false" customHeight="false" outlineLevel="0" collapsed="false"/>
    <row r="61" customFormat="false" ht="15.5" hidden="false" customHeight="false" outlineLevel="0" collapsed="false"/>
  </sheetData>
  <mergeCells count="12">
    <mergeCell ref="N9:O9"/>
    <mergeCell ref="Q10:R10"/>
    <mergeCell ref="Q11:R11"/>
    <mergeCell ref="Q12:R12"/>
    <mergeCell ref="N13:O13"/>
    <mergeCell ref="Q13:R13"/>
    <mergeCell ref="Q15:R15"/>
    <mergeCell ref="Q16:R16"/>
    <mergeCell ref="Q17:R17"/>
    <mergeCell ref="Q18:R18"/>
    <mergeCell ref="N26:O26"/>
    <mergeCell ref="N30:O30"/>
  </mergeCells>
  <conditionalFormatting sqref="C25">
    <cfRule type="expression" priority="2" aboveAverage="0" equalAverage="0" bottom="0" percent="0" rank="0" text="" dxfId="0">
      <formula>OR(B25=1800,B25=2300,B25=2700,B25=3200,B25=3600)</formula>
    </cfRule>
    <cfRule type="cellIs" priority="3" operator="notEqual" aboveAverage="0" equalAverage="0" bottom="0" percent="0" rank="0" text="" dxfId="1">
      <formula>"1800;2300;2700;3200;3600"</formula>
    </cfRule>
  </conditionalFormatting>
  <conditionalFormatting sqref="C32">
    <cfRule type="expression" priority="4" aboveAverage="0" equalAverage="0" bottom="0" percent="0" rank="0" text="" dxfId="2">
      <formula>OR(B32=1800,B32=2300,B32=2700,B32=3200,B32=3600)</formula>
    </cfRule>
    <cfRule type="cellIs" priority="5" operator="notEqual" aboveAverage="0" equalAverage="0" bottom="0" percent="0" rank="0" text="" dxfId="3">
      <formula>"1800;2300;2700;3200;3600"</formula>
    </cfRule>
  </conditionalFormatting>
  <dataValidations count="8">
    <dataValidation allowBlank="true" operator="between" showDropDown="false" showErrorMessage="true" showInputMessage="true" sqref="B2" type="list">
      <formula1>$F$2:$I$2</formula1>
      <formula2>0</formula2>
    </dataValidation>
    <dataValidation allowBlank="true" operator="between" showDropDown="false" showErrorMessage="true" showInputMessage="true" sqref="B3 B5 B7" type="list">
      <formula1>"Оцинковка,Крашенный"</formula1>
      <formula2>0</formula2>
    </dataValidation>
    <dataValidation allowBlank="true" operator="between" showDropDown="false" showErrorMessage="true" showInputMessage="true" sqref="B4" type="list">
      <formula1>IF($B$2=55,$K$3:$K$7,$K$6:$K$7)</formula1>
      <formula2>0</formula2>
    </dataValidation>
    <dataValidation allowBlank="true" operator="between" showDropDown="false" showErrorMessage="true" showInputMessage="true" sqref="B14" type="list">
      <formula1>"0,2"</formula1>
      <formula2>0</formula2>
    </dataValidation>
    <dataValidation allowBlank="true" operator="between" showDropDown="false" showErrorMessage="true" showInputMessage="true" sqref="B6" type="list">
      <formula1>IF($B$2=55,$K$6,$K$6:$K$7)</formula1>
      <formula2>0</formula2>
    </dataValidation>
    <dataValidation allowBlank="true" operator="between" showDropDown="false" showErrorMessage="true" showInputMessage="true" sqref="B21" type="list">
      <formula1>"0,1,2,3"</formula1>
      <formula2>0</formula2>
    </dataValidation>
    <dataValidation allowBlank="true" operator="between" showDropDown="false" showErrorMessage="true" showInputMessage="true" sqref="B23 B30" type="list">
      <formula1>$R$2:$AA$2</formula1>
      <formula2>0</formula2>
    </dataValidation>
    <dataValidation allowBlank="true" operator="between" showDropDown="false" showErrorMessage="true" showInputMessage="true" sqref="B8" type="list">
      <formula1>$E$3:$E$25</formula1>
      <formula2>0</formula2>
    </dataValidation>
  </dataValidation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39"/>
  <sheetViews>
    <sheetView windowProtection="false" showFormulas="false" showGridLines="true" showRowColHeaders="true" showZeros="true" rightToLeft="false" tabSelected="true" showOutlineSymbols="true" defaultGridColor="true" view="normal" topLeftCell="A10" colorId="64" zoomScale="100" zoomScaleNormal="100" zoomScalePageLayoutView="100" workbookViewId="0">
      <selection pane="topLeft" activeCell="A22" activeCellId="0" sqref="A22"/>
    </sheetView>
  </sheetViews>
  <sheetFormatPr defaultRowHeight="12.5"/>
  <cols>
    <col collapsed="false" hidden="false" max="1" min="1" style="209" width="45.7602040816327"/>
    <col collapsed="false" hidden="false" max="1025" min="2" style="209" width="8.50510204081633"/>
  </cols>
  <sheetData>
    <row r="1" customFormat="false" ht="17.5" hidden="false" customHeight="false" outlineLevel="0" collapsed="false">
      <c r="A1" s="210" t="s">
        <v>84</v>
      </c>
      <c r="B1" s="211" t="s">
        <v>85</v>
      </c>
      <c r="C1" s="211"/>
      <c r="D1" s="211"/>
      <c r="E1" s="211"/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7.5" hidden="false" customHeight="false" outlineLevel="0" collapsed="false">
      <c r="A2" s="210" t="s">
        <v>86</v>
      </c>
      <c r="B2" s="211"/>
      <c r="C2" s="211"/>
      <c r="D2" s="211"/>
      <c r="E2" s="211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7.5" hidden="false" customHeight="false" outlineLevel="0" collapsed="false">
      <c r="A3" s="210" t="s">
        <v>87</v>
      </c>
      <c r="B3" s="211"/>
      <c r="C3" s="211"/>
      <c r="D3" s="211"/>
      <c r="E3" s="211"/>
      <c r="F3" s="0"/>
      <c r="G3" s="0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7.5" hidden="false" customHeight="false" outlineLevel="0" collapsed="false">
      <c r="A4" s="210" t="s">
        <v>88</v>
      </c>
      <c r="B4" s="211"/>
      <c r="C4" s="211"/>
      <c r="D4" s="211"/>
      <c r="E4" s="211"/>
      <c r="F4" s="0"/>
      <c r="G4" s="0"/>
      <c r="H4" s="0"/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7.5" hidden="false" customHeight="false" outlineLevel="0" collapsed="false">
      <c r="A5" s="210" t="s">
        <v>89</v>
      </c>
      <c r="B5" s="211"/>
      <c r="C5" s="211"/>
      <c r="D5" s="211"/>
      <c r="E5" s="211"/>
      <c r="F5" s="0"/>
      <c r="G5" s="0"/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2.5" hidden="false" customHeight="false" outlineLevel="0" collapsed="false">
      <c r="A6" s="0"/>
      <c r="B6" s="0"/>
      <c r="C6" s="0"/>
      <c r="D6" s="0"/>
      <c r="E6" s="0"/>
      <c r="F6" s="0"/>
      <c r="G6" s="0"/>
      <c r="H6" s="0"/>
      <c r="I6" s="0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13" hidden="false" customHeight="false" outlineLevel="0" collapsed="false">
      <c r="A7" s="212" t="s">
        <v>90</v>
      </c>
      <c r="B7" s="212" t="s">
        <v>91</v>
      </c>
      <c r="C7" s="0"/>
      <c r="D7" s="0"/>
      <c r="E7" s="0"/>
      <c r="F7" s="0"/>
      <c r="G7" s="0"/>
      <c r="H7" s="0"/>
      <c r="I7" s="0"/>
      <c r="J7" s="0"/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3" hidden="false" customHeight="false" outlineLevel="0" collapsed="false">
      <c r="A8" s="213" t="str">
        <f aca="false">"Подпятник под "&amp;TEXT(Данные!B2,0)&amp;" стойку"</f>
        <v>Подпятник под 90 стойку</v>
      </c>
      <c r="B8" s="213" t="n">
        <f aca="false">Данные!B14*Данные!B20</f>
        <v>0</v>
      </c>
      <c r="C8" s="0"/>
      <c r="D8" s="0"/>
      <c r="E8" s="0"/>
      <c r="F8" s="0"/>
      <c r="G8" s="0"/>
      <c r="H8" s="0"/>
      <c r="I8" s="0"/>
      <c r="J8" s="0"/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13" hidden="false" customHeight="false" outlineLevel="0" collapsed="false">
      <c r="A9" s="213" t="str">
        <f aca="false">"Стойка "&amp;TEXT(Данные!B2,0)&amp;"х"&amp;TEXT(Данные!B4,"0,0")&amp;"х"&amp;TEXT(Данные!B9,0)&amp;" "&amp;TEXT(IF(Данные!B3="Крашенный","краш.","оц."),"0,0")</f>
        <v>Стойка 90х1,5х3000 оц.</v>
      </c>
      <c r="B9" s="213" t="n">
        <f aca="false">Данные!B20*2</f>
        <v>0</v>
      </c>
      <c r="C9" s="0"/>
      <c r="D9" s="0"/>
      <c r="E9" s="0"/>
      <c r="F9" s="0"/>
      <c r="G9" s="0"/>
      <c r="H9" s="0"/>
      <c r="I9" s="0"/>
      <c r="J9" s="0"/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3" hidden="false" customHeight="false" outlineLevel="0" collapsed="false">
      <c r="A10" s="213" t="s">
        <v>92</v>
      </c>
      <c r="B10" s="213" t="n">
        <f aca="false">Данные!B13*Данные!B20</f>
        <v>0</v>
      </c>
      <c r="C10" s="0"/>
      <c r="D10" s="0"/>
      <c r="E10" s="0"/>
      <c r="F10" s="0"/>
      <c r="G10" s="0"/>
      <c r="H10" s="0"/>
      <c r="I10" s="0"/>
      <c r="J10" s="0"/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13" hidden="false" customHeight="false" outlineLevel="0" collapsed="false">
      <c r="A11" s="213" t="str">
        <f aca="false">"Стяжка большая "&amp;TEXT(Данные!C11,0)&amp;"мм на гл."&amp;TEXT(Данные!B8,0)&amp;TEXT(IF(Данные!B5="Крашенный"," краш. "," оц."),0)</f>
        <v>Стяжка большая 1134мм на гл.1050 оц.</v>
      </c>
      <c r="B11" s="213" t="n">
        <f aca="false">Данные!B11*Данные!B20</f>
        <v>0</v>
      </c>
      <c r="C11" s="0"/>
      <c r="D11" s="0"/>
      <c r="E11" s="0"/>
      <c r="F11" s="0"/>
      <c r="G11" s="0"/>
      <c r="H11" s="0"/>
      <c r="I11" s="0"/>
      <c r="J11" s="0"/>
      <c r="K11" s="0"/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13" hidden="false" customHeight="false" outlineLevel="0" collapsed="false">
      <c r="A12" s="213" t="str">
        <f aca="false">"Стяжка малая "&amp;TEXT(Данные!C12,0)&amp;"мм на гл."&amp;TEXT(Данные!B8,0)&amp;TEXT(IF(Данные!B5="Крашенный"," краш. "," оц."),0)</f>
        <v>Стяжка малая 957мм на гл.1050 оц.</v>
      </c>
      <c r="B12" s="213" t="n">
        <f aca="false">Данные!B12*Данные!B20</f>
        <v>0</v>
      </c>
      <c r="C12" s="0"/>
      <c r="D12" s="0"/>
      <c r="E12" s="0"/>
      <c r="F12" s="0"/>
      <c r="G12" s="0"/>
      <c r="H12" s="0"/>
      <c r="I12" s="0"/>
      <c r="J12" s="0"/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13" hidden="false" customHeight="false" outlineLevel="0" collapsed="false">
      <c r="A13" s="213" t="str">
        <f aca="false">"Балка "&amp;TEXT(Данные!B23,0)&amp;"х"&amp;TEXT(Данные!B24,"0,0")&amp;"х"&amp;TEXT(Данные!B25,0)</f>
        <v>Балка В125х1,5х3600</v>
      </c>
      <c r="B13" s="213" t="n">
        <f aca="false">Данные!B28</f>
        <v>0</v>
      </c>
      <c r="C13" s="0"/>
      <c r="D13" s="0"/>
      <c r="E13" s="0"/>
      <c r="F13" s="0"/>
      <c r="G13" s="0"/>
      <c r="H13" s="0"/>
      <c r="I13" s="0"/>
      <c r="J13" s="0"/>
      <c r="K13" s="0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13" hidden="false" customHeight="false" outlineLevel="0" collapsed="false">
      <c r="A14" s="213" t="s">
        <v>93</v>
      </c>
      <c r="B14" s="214" t="n">
        <f aca="false">IF(Данные!B21=0,"-",Данные!B20*Данные!B21*2)</f>
        <v>0</v>
      </c>
      <c r="C14" s="0"/>
      <c r="D14" s="0"/>
      <c r="E14" s="0"/>
      <c r="F14" s="0"/>
      <c r="G14" s="0"/>
      <c r="H14" s="0"/>
      <c r="I14" s="0"/>
      <c r="J14" s="0"/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13" hidden="false" customHeight="false" outlineLevel="0" collapsed="false">
      <c r="A15" s="213" t="s">
        <v>94</v>
      </c>
      <c r="B15" s="213" t="n">
        <f aca="false">Данные!B17*Данные!B20</f>
        <v>0</v>
      </c>
      <c r="C15" s="0"/>
      <c r="D15" s="0"/>
      <c r="E15" s="0"/>
      <c r="F15" s="0"/>
      <c r="G15" s="0"/>
      <c r="H15" s="0"/>
      <c r="I15" s="0"/>
      <c r="J15" s="0"/>
      <c r="K15" s="0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13" hidden="false" customHeight="false" outlineLevel="0" collapsed="false">
      <c r="A16" s="213" t="str">
        <f aca="false">"Болт "&amp;TEXT(IF(Данные!B2=55,"М6х35","М10х70"),0)</f>
        <v>Болт М10х70</v>
      </c>
      <c r="B16" s="213" t="n">
        <f aca="false">Данные!B15*Данные!B20</f>
        <v>0</v>
      </c>
      <c r="C16" s="0"/>
      <c r="D16" s="0"/>
      <c r="E16" s="0"/>
      <c r="F16" s="0"/>
      <c r="G16" s="0"/>
      <c r="H16" s="0"/>
      <c r="I16" s="0"/>
      <c r="J16" s="0"/>
      <c r="K16" s="0"/>
      <c r="L16" s="0"/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13" hidden="false" customHeight="false" outlineLevel="0" collapsed="false">
      <c r="A17" s="213" t="str">
        <f aca="false">"Болт "&amp;TEXT(IF(Данные!B2=55,"-","М10х20"),0)</f>
        <v>Болт М10х20</v>
      </c>
      <c r="B17" s="213" t="n">
        <f aca="false">Данные!B16*Данные!B20</f>
        <v>0</v>
      </c>
      <c r="C17" s="0"/>
      <c r="D17" s="0"/>
      <c r="E17" s="0"/>
      <c r="F17" s="0"/>
      <c r="G17" s="0"/>
      <c r="H17" s="0"/>
      <c r="I17" s="0"/>
      <c r="J17" s="0"/>
      <c r="K17" s="0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13" hidden="false" customHeight="false" outlineLevel="0" collapsed="false">
      <c r="A18" s="213" t="s">
        <v>95</v>
      </c>
      <c r="B18" s="213" t="n">
        <f aca="false">Данные!B28*2+Данные!B35*2</f>
        <v>0</v>
      </c>
      <c r="C18" s="0"/>
      <c r="D18" s="0"/>
      <c r="E18" s="0"/>
      <c r="F18" s="0"/>
      <c r="G18" s="0"/>
      <c r="H18" s="0"/>
      <c r="I18" s="0"/>
      <c r="J18" s="0"/>
      <c r="K18" s="0"/>
      <c r="L18" s="0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13" hidden="false" customHeight="false" outlineLevel="0" collapsed="false">
      <c r="A19" s="213" t="str">
        <f aca="false">"Гайка "&amp;TEXT(IF(Данные!B2=55,"М6","М10"),0)</f>
        <v>Гайка М10</v>
      </c>
      <c r="B19" s="213" t="n">
        <f aca="false">Данные!B18*Данные!B20</f>
        <v>0</v>
      </c>
      <c r="C19" s="0"/>
      <c r="D19" s="0"/>
      <c r="E19" s="0"/>
      <c r="F19" s="0"/>
      <c r="G19" s="0"/>
      <c r="H19" s="0"/>
      <c r="I19" s="0"/>
      <c r="J19" s="0"/>
      <c r="K19" s="0"/>
      <c r="L19" s="0"/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13" hidden="false" customHeight="false" outlineLevel="0" collapsed="false">
      <c r="A20" s="213" t="s">
        <v>96</v>
      </c>
      <c r="B20" s="213" t="n">
        <f aca="false">Данные!B28*2</f>
        <v>0</v>
      </c>
      <c r="C20" s="0"/>
      <c r="D20" s="0"/>
      <c r="E20" s="0"/>
      <c r="F20" s="0"/>
      <c r="G20" s="0"/>
      <c r="H20" s="0"/>
      <c r="I20" s="0"/>
      <c r="J20" s="0"/>
      <c r="K20" s="0"/>
      <c r="L20" s="0"/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12.5" hidden="false" customHeight="false" outlineLevel="0" collapsed="false">
      <c r="A21" s="0"/>
      <c r="B21" s="0"/>
      <c r="C21" s="0"/>
      <c r="D21" s="0"/>
      <c r="E21" s="0"/>
      <c r="F21" s="0"/>
      <c r="G21" s="0"/>
      <c r="H21" s="0"/>
      <c r="I21" s="0"/>
      <c r="J21" s="0"/>
      <c r="K21" s="0"/>
      <c r="L21" s="0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s="217" customFormat="true" ht="15.5" hidden="false" customHeight="false" outlineLevel="0" collapsed="false">
      <c r="A22" s="215" t="s">
        <v>97</v>
      </c>
      <c r="B22" s="216" t="s">
        <v>98</v>
      </c>
      <c r="C22" s="216" t="s">
        <v>99</v>
      </c>
    </row>
    <row r="23" customFormat="false" ht="15.5" hidden="false" customHeight="false" outlineLevel="0" collapsed="false">
      <c r="A23" s="218" t="str">
        <f aca="false">"Балка "&amp;TEXT(Данные!B30,0)&amp;"х"&amp;TEXT(Данные!B31,"0,0")&amp;"х"&amp;TEXT(Данные!B32,0)</f>
        <v>Балка К120х1,5х2700</v>
      </c>
      <c r="B23" s="218" t="n">
        <f aca="false">Данные!B35</f>
        <v>0</v>
      </c>
      <c r="C23" s="218"/>
    </row>
    <row r="24" customFormat="false" ht="15.5" hidden="false" customHeight="false" outlineLevel="0" collapsed="false">
      <c r="A24" s="218" t="s">
        <v>100</v>
      </c>
      <c r="B24" s="218"/>
      <c r="C24" s="218"/>
    </row>
    <row r="25" customFormat="false" ht="15.5" hidden="false" customHeight="false" outlineLevel="0" collapsed="false">
      <c r="A25" s="218" t="s">
        <v>101</v>
      </c>
      <c r="B25" s="218"/>
      <c r="C25" s="218"/>
    </row>
    <row r="26" customFormat="false" ht="15.5" hidden="false" customHeight="false" outlineLevel="0" collapsed="false">
      <c r="A26" s="218" t="s">
        <v>102</v>
      </c>
      <c r="B26" s="218"/>
      <c r="C26" s="218"/>
    </row>
    <row r="27" customFormat="false" ht="15.5" hidden="false" customHeight="false" outlineLevel="0" collapsed="false">
      <c r="A27" s="218" t="s">
        <v>103</v>
      </c>
      <c r="B27" s="218"/>
      <c r="C27" s="218"/>
    </row>
    <row r="28" customFormat="false" ht="15.5" hidden="false" customHeight="false" outlineLevel="0" collapsed="false">
      <c r="A28" s="218" t="s">
        <v>104</v>
      </c>
      <c r="B28" s="218"/>
      <c r="C28" s="218"/>
    </row>
    <row r="29" customFormat="false" ht="15.5" hidden="false" customHeight="false" outlineLevel="0" collapsed="false">
      <c r="A29" s="218" t="s">
        <v>105</v>
      </c>
      <c r="B29" s="218"/>
      <c r="C29" s="218"/>
    </row>
    <row r="30" customFormat="false" ht="15.5" hidden="false" customHeight="false" outlineLevel="0" collapsed="false">
      <c r="A30" s="218" t="s">
        <v>106</v>
      </c>
      <c r="B30" s="218"/>
      <c r="C30" s="218"/>
    </row>
    <row r="31" customFormat="false" ht="15.5" hidden="false" customHeight="false" outlineLevel="0" collapsed="false">
      <c r="A31" s="218" t="s">
        <v>107</v>
      </c>
      <c r="B31" s="218"/>
      <c r="C31" s="218"/>
    </row>
    <row r="32" customFormat="false" ht="15.5" hidden="false" customHeight="false" outlineLevel="0" collapsed="false">
      <c r="A32" s="218" t="s">
        <v>108</v>
      </c>
      <c r="B32" s="218"/>
      <c r="C32" s="218"/>
    </row>
    <row r="33" customFormat="false" ht="15" hidden="false" customHeight="false" outlineLevel="0" collapsed="false">
      <c r="A33" s="218"/>
      <c r="B33" s="218"/>
      <c r="C33" s="218"/>
    </row>
    <row r="34" customFormat="false" ht="12.5" hidden="false" customHeight="false" outlineLevel="0" collapsed="false">
      <c r="A34" s="219"/>
      <c r="B34" s="219"/>
      <c r="C34" s="219"/>
    </row>
    <row r="35" customFormat="false" ht="12.5" hidden="false" customHeight="false" outlineLevel="0" collapsed="false">
      <c r="A35" s="219"/>
      <c r="B35" s="219"/>
      <c r="C35" s="219"/>
    </row>
    <row r="36" customFormat="false" ht="12.5" hidden="false" customHeight="false" outlineLevel="0" collapsed="false">
      <c r="A36" s="219"/>
      <c r="B36" s="219"/>
      <c r="C36" s="219"/>
    </row>
    <row r="37" customFormat="false" ht="12.5" hidden="false" customHeight="false" outlineLevel="0" collapsed="false">
      <c r="A37" s="219"/>
      <c r="B37" s="219"/>
      <c r="C37" s="219"/>
    </row>
    <row r="38" customFormat="false" ht="12.5" hidden="false" customHeight="false" outlineLevel="0" collapsed="false">
      <c r="A38" s="219"/>
      <c r="B38" s="219"/>
      <c r="C38" s="219"/>
    </row>
    <row r="39" customFormat="false" ht="12.5" hidden="false" customHeight="false" outlineLevel="0" collapsed="false">
      <c r="A39" s="219"/>
      <c r="B39" s="219"/>
      <c r="C39" s="219"/>
    </row>
  </sheetData>
  <mergeCells count="5">
    <mergeCell ref="B1:E1"/>
    <mergeCell ref="B2:E2"/>
    <mergeCell ref="B3:E3"/>
    <mergeCell ref="B4:E4"/>
    <mergeCell ref="B5:E5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17</TotalTime>
  <Application>LibreOffice/5.0.3.2$Windows_x86 LibreOffice_project/e5f16313668ac592c1bfb310f4390624e3dbfb75</Application>
  <Company>Евроколор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2009-05-28T03:57:02Z</dcterms:created>
  <dc:creator>Наиль</dc:creator>
  <dc:language>ru-RU</dc:language>
  <cp:lastPrinted>2017-08-17T10:37:29Z</cp:lastPrinted>
  <dcterms:modified xsi:type="dcterms:W3CDTF">2018-05-04T11:32:21Z</dcterms:modified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Евроколор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